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SANCHEZ\Desktop\Escritorio\AÑo 2022\MAYO 2022\"/>
    </mc:Choice>
  </mc:AlternateContent>
  <bookViews>
    <workbookView xWindow="0" yWindow="0" windowWidth="24000" windowHeight="9135" tabRatio="580" activeTab="3"/>
  </bookViews>
  <sheets>
    <sheet name="SUBVENCION" sheetId="1" r:id="rId1"/>
    <sheet name="OPERATIVA" sheetId="2" r:id="rId2"/>
    <sheet name="Hoja3" sheetId="10" state="hidden" r:id="rId3"/>
    <sheet name="UNICA" sheetId="3" r:id="rId4"/>
    <sheet name="COPIA CUENTA UNICA MES OCTUBRE." sheetId="14" state="hidden" r:id="rId5"/>
    <sheet name="Hoja1" sheetId="12" state="hidden" r:id="rId6"/>
    <sheet name="Hoja2" sheetId="15" state="hidden" r:id="rId7"/>
    <sheet name="Hoja5" sheetId="16" state="hidden" r:id="rId8"/>
    <sheet name="Hoja4" sheetId="17" r:id="rId9"/>
    <sheet name="Hoja6" sheetId="19" r:id="rId10"/>
  </sheets>
  <externalReferences>
    <externalReference r:id="rId11"/>
  </externalReferences>
  <definedNames>
    <definedName name="_xlnm._FilterDatabase" localSheetId="1" hidden="1">OPERATIVA!$A$45:$O$82</definedName>
    <definedName name="_xlnm._FilterDatabase" localSheetId="0" hidden="1">SUBVENCION!#REF!</definedName>
    <definedName name="_xlnm._FilterDatabase" localSheetId="3" hidden="1">UNICA!$A$744:$EL$933</definedName>
    <definedName name="_Hlk63756797" localSheetId="3">UNICA!#REF!</definedName>
    <definedName name="_xlnm.Print_Area" localSheetId="1">OPERATIVA!$A$1:$H$115</definedName>
  </definedNames>
  <calcPr calcId="152511"/>
</workbook>
</file>

<file path=xl/calcChain.xml><?xml version="1.0" encoding="utf-8"?>
<calcChain xmlns="http://schemas.openxmlformats.org/spreadsheetml/2006/main">
  <c r="E933" i="3" l="1"/>
  <c r="F80" i="2" l="1"/>
  <c r="F84" i="2" s="1"/>
  <c r="E84" i="2"/>
  <c r="E54" i="1" l="1"/>
  <c r="F54" i="1" l="1"/>
  <c r="F916" i="3" l="1"/>
  <c r="F917" i="3"/>
  <c r="F918" i="3"/>
  <c r="F915" i="3" l="1"/>
  <c r="F905" i="3"/>
  <c r="F904" i="3"/>
  <c r="F894" i="3"/>
  <c r="F895" i="3"/>
  <c r="F896" i="3"/>
  <c r="F897" i="3"/>
  <c r="F893" i="3"/>
  <c r="A7" i="19" l="1"/>
  <c r="F882" i="3"/>
  <c r="F875" i="3"/>
  <c r="F874" i="3"/>
  <c r="F21" i="1" l="1"/>
  <c r="B126" i="17"/>
  <c r="B119" i="17"/>
  <c r="B130" i="17" s="1"/>
  <c r="F871" i="3" l="1"/>
  <c r="F870" i="3"/>
  <c r="F869" i="3"/>
  <c r="F866" i="3"/>
  <c r="F865" i="3"/>
  <c r="F864" i="3"/>
  <c r="F863" i="3"/>
  <c r="F862" i="3"/>
  <c r="F856" i="3"/>
  <c r="F857" i="3"/>
  <c r="F858" i="3"/>
  <c r="F859" i="3"/>
  <c r="F855" i="3"/>
  <c r="F841" i="3"/>
  <c r="F842" i="3"/>
  <c r="F840" i="3"/>
  <c r="F836" i="3"/>
  <c r="F837" i="3"/>
  <c r="F838" i="3"/>
  <c r="F835" i="3"/>
  <c r="F832" i="3"/>
  <c r="F831" i="3"/>
  <c r="F829" i="3"/>
  <c r="F828" i="3"/>
  <c r="F811" i="3"/>
  <c r="F812" i="3"/>
  <c r="F813" i="3"/>
  <c r="F814" i="3"/>
  <c r="F810" i="3"/>
  <c r="F804" i="3" l="1"/>
  <c r="F803" i="3"/>
  <c r="F799" i="3"/>
  <c r="F800" i="3"/>
  <c r="F798" i="3"/>
  <c r="F791" i="3" l="1"/>
  <c r="F792" i="3"/>
  <c r="F793" i="3"/>
  <c r="F790" i="3"/>
  <c r="F778" i="3"/>
  <c r="F779" i="3"/>
  <c r="F777" i="3"/>
  <c r="F766" i="3"/>
  <c r="F767" i="3"/>
  <c r="F765" i="3"/>
  <c r="F754" i="3" l="1"/>
  <c r="F755" i="3"/>
  <c r="F753" i="3"/>
  <c r="F749" i="3"/>
  <c r="F750" i="3"/>
  <c r="F751" i="3"/>
  <c r="F748" i="3"/>
  <c r="F746" i="3"/>
  <c r="F933" i="3" s="1"/>
  <c r="E542" i="3" l="1"/>
  <c r="F704" i="3" l="1"/>
  <c r="F705" i="3"/>
  <c r="F706" i="3"/>
  <c r="F707" i="3"/>
  <c r="F708" i="3"/>
  <c r="F709" i="3"/>
  <c r="F710" i="3"/>
  <c r="F703" i="3"/>
  <c r="F688" i="3"/>
  <c r="F692" i="3"/>
  <c r="F577" i="3"/>
  <c r="F691" i="3" l="1"/>
  <c r="F693" i="3"/>
  <c r="F689" i="3"/>
  <c r="F682" i="3"/>
  <c r="F681" i="3"/>
  <c r="F680" i="3"/>
  <c r="F679" i="3"/>
  <c r="F678" i="3"/>
  <c r="F677" i="3"/>
  <c r="F672" i="3"/>
  <c r="F676" i="3"/>
  <c r="F675" i="3"/>
  <c r="F674" i="3"/>
  <c r="F673" i="3"/>
  <c r="F660" i="3"/>
  <c r="F659" i="3"/>
  <c r="F658" i="3"/>
  <c r="F653" i="3"/>
  <c r="F652" i="3"/>
  <c r="F651" i="3"/>
  <c r="F650" i="3"/>
  <c r="F649" i="3"/>
  <c r="F645" i="3"/>
  <c r="F646" i="3" l="1"/>
  <c r="F640" i="3"/>
  <c r="F639" i="3"/>
  <c r="F627" i="3"/>
  <c r="F626" i="3"/>
  <c r="F621" i="3" l="1"/>
  <c r="F622" i="3"/>
  <c r="F620" i="3"/>
  <c r="F609" i="3" l="1"/>
  <c r="F610" i="3"/>
  <c r="F611" i="3"/>
  <c r="F612" i="3"/>
  <c r="F608" i="3"/>
  <c r="F603" i="3"/>
  <c r="F604" i="3"/>
  <c r="F605" i="3"/>
  <c r="F589" i="3"/>
  <c r="F590" i="3"/>
  <c r="F591" i="3"/>
  <c r="F592" i="3"/>
  <c r="F588" i="3"/>
  <c r="F580" i="3"/>
  <c r="F581" i="3"/>
  <c r="F582" i="3"/>
  <c r="F583" i="3"/>
  <c r="F574" i="3"/>
  <c r="F575" i="3"/>
  <c r="F576" i="3"/>
  <c r="F573" i="3"/>
  <c r="F563" i="3"/>
  <c r="F564" i="3"/>
  <c r="F567" i="3"/>
  <c r="F562" i="3"/>
  <c r="F560" i="3"/>
  <c r="F559" i="3"/>
  <c r="F555" i="3"/>
  <c r="F554" i="3"/>
  <c r="F548" i="3"/>
  <c r="F549" i="3"/>
  <c r="F547" i="3"/>
  <c r="F34" i="2" l="1"/>
  <c r="E111" i="17" l="1"/>
  <c r="H15" i="16"/>
  <c r="C35" i="15"/>
  <c r="F25" i="15"/>
  <c r="F21" i="15"/>
  <c r="D16" i="15"/>
  <c r="G14" i="15"/>
  <c r="E10" i="15"/>
  <c r="F366" i="14"/>
  <c r="F365" i="14"/>
  <c r="F363" i="14"/>
  <c r="F362" i="14"/>
  <c r="F361" i="14"/>
  <c r="F360" i="14"/>
  <c r="F359" i="14"/>
  <c r="F358" i="14"/>
  <c r="F353" i="14"/>
  <c r="F352" i="14"/>
  <c r="F351" i="14"/>
  <c r="F350" i="14"/>
  <c r="F346" i="14"/>
  <c r="F344" i="14"/>
  <c r="F334" i="14"/>
  <c r="F330" i="14"/>
  <c r="F323" i="14"/>
  <c r="F322" i="14"/>
  <c r="F321" i="14"/>
  <c r="F307" i="14"/>
  <c r="F305" i="14"/>
  <c r="F295" i="14"/>
  <c r="F294" i="14"/>
  <c r="F293" i="14"/>
  <c r="F291" i="14"/>
  <c r="F290" i="14"/>
  <c r="F289" i="14"/>
  <c r="F288" i="14"/>
  <c r="F287" i="14"/>
  <c r="F286" i="14"/>
  <c r="F285" i="14"/>
  <c r="F284" i="14"/>
  <c r="F283" i="14"/>
  <c r="F276" i="14"/>
  <c r="F273" i="14"/>
  <c r="F272" i="14"/>
  <c r="F271" i="14"/>
  <c r="F270" i="14"/>
  <c r="F266" i="14"/>
  <c r="F262" i="14"/>
  <c r="F260" i="14"/>
  <c r="F258" i="14"/>
  <c r="F257" i="14"/>
  <c r="F256" i="14"/>
  <c r="F255" i="14"/>
  <c r="F250" i="14"/>
  <c r="F248" i="14"/>
  <c r="F246" i="14"/>
  <c r="F244" i="14"/>
  <c r="F243" i="14"/>
  <c r="F242" i="14"/>
  <c r="F241" i="14"/>
  <c r="F240" i="14"/>
  <c r="F238" i="14"/>
  <c r="F233" i="14"/>
  <c r="F232" i="14"/>
  <c r="F220" i="14"/>
  <c r="F219" i="14"/>
  <c r="F217" i="14"/>
  <c r="F216" i="14"/>
  <c r="H212" i="14"/>
  <c r="F202" i="14"/>
  <c r="F199" i="14"/>
  <c r="F198" i="14"/>
  <c r="F197" i="14"/>
  <c r="F196" i="14"/>
  <c r="F182" i="14"/>
  <c r="F180" i="14"/>
  <c r="F170" i="14"/>
  <c r="F169" i="14"/>
  <c r="F168" i="14"/>
  <c r="F167" i="14"/>
  <c r="F154" i="14"/>
  <c r="F150" i="14"/>
  <c r="E150" i="14"/>
  <c r="E149" i="14"/>
  <c r="F145" i="14"/>
  <c r="F138" i="14"/>
  <c r="E136" i="14"/>
  <c r="F136" i="14" s="1"/>
  <c r="F131" i="14"/>
  <c r="F130" i="14"/>
  <c r="F127" i="14"/>
  <c r="F126" i="14"/>
  <c r="F124" i="14"/>
  <c r="E123" i="14"/>
  <c r="F122" i="14"/>
  <c r="F120" i="14"/>
  <c r="F118" i="14"/>
  <c r="F115" i="14"/>
  <c r="F114" i="14"/>
  <c r="F113" i="14"/>
  <c r="E112" i="14"/>
  <c r="F111" i="14"/>
  <c r="F109" i="14"/>
  <c r="F105" i="14"/>
  <c r="F103" i="14"/>
  <c r="E101" i="14"/>
  <c r="F101" i="14" s="1"/>
  <c r="E100" i="14"/>
  <c r="F92" i="14"/>
  <c r="E88" i="14"/>
  <c r="F86" i="14"/>
  <c r="F85" i="14"/>
  <c r="F84" i="14"/>
  <c r="F83" i="14"/>
  <c r="F81" i="14"/>
  <c r="F80" i="14"/>
  <c r="F79" i="14"/>
  <c r="F78" i="14"/>
  <c r="E77" i="14"/>
  <c r="F76" i="14"/>
  <c r="F74" i="14"/>
  <c r="F72" i="14"/>
  <c r="F70" i="14"/>
  <c r="F69" i="14"/>
  <c r="F68" i="14"/>
  <c r="F67" i="14"/>
  <c r="F62" i="14"/>
  <c r="F61" i="14"/>
  <c r="F60" i="14"/>
  <c r="F59" i="14"/>
  <c r="F57" i="14"/>
  <c r="F56" i="14"/>
  <c r="F55" i="14"/>
  <c r="F51" i="14"/>
  <c r="F50" i="14"/>
  <c r="F49" i="14"/>
  <c r="F48" i="14"/>
  <c r="F47" i="14"/>
  <c r="E46" i="14"/>
  <c r="E213" i="14" s="1"/>
  <c r="F45" i="14"/>
  <c r="F44" i="14"/>
  <c r="F43" i="14"/>
  <c r="F42" i="14"/>
  <c r="F41" i="14"/>
  <c r="F39" i="14"/>
  <c r="H37" i="14"/>
  <c r="F37" i="14"/>
  <c r="F36" i="14"/>
  <c r="H38" i="14" s="1"/>
  <c r="F34" i="14"/>
  <c r="F32" i="14"/>
  <c r="H28" i="14"/>
  <c r="F26" i="14"/>
  <c r="F25" i="14"/>
  <c r="F24" i="14"/>
  <c r="F23" i="14"/>
  <c r="F21" i="14"/>
  <c r="F19" i="14"/>
  <c r="F13" i="14"/>
  <c r="G12" i="14"/>
  <c r="F539" i="3"/>
  <c r="F538" i="3"/>
  <c r="F537" i="3"/>
  <c r="F527" i="3"/>
  <c r="F526" i="3"/>
  <c r="F525" i="3"/>
  <c r="F524" i="3"/>
  <c r="F503" i="3"/>
  <c r="F498" i="3"/>
  <c r="F497" i="3"/>
  <c r="F496" i="3"/>
  <c r="F495" i="3"/>
  <c r="F494" i="3"/>
  <c r="F492" i="3"/>
  <c r="F491" i="3"/>
  <c r="F490" i="3"/>
  <c r="F487" i="3"/>
  <c r="F486" i="3"/>
  <c r="F484" i="3"/>
  <c r="F483" i="3"/>
  <c r="F482" i="3"/>
  <c r="F481" i="3"/>
  <c r="F478" i="3"/>
  <c r="F459" i="3"/>
  <c r="F458" i="3"/>
  <c r="F457" i="3"/>
  <c r="F453" i="3"/>
  <c r="F452" i="3"/>
  <c r="F451" i="3"/>
  <c r="E450" i="3"/>
  <c r="F450" i="3" s="1"/>
  <c r="E449" i="3"/>
  <c r="F436" i="3"/>
  <c r="F435" i="3"/>
  <c r="E434" i="3"/>
  <c r="F434" i="3" s="1"/>
  <c r="E433" i="3"/>
  <c r="F425" i="3"/>
  <c r="F424" i="3"/>
  <c r="E423" i="3"/>
  <c r="F423" i="3" s="1"/>
  <c r="F417" i="3"/>
  <c r="E416" i="3"/>
  <c r="F415" i="3"/>
  <c r="F414" i="3"/>
  <c r="F413" i="3"/>
  <c r="E412" i="3"/>
  <c r="F412" i="3" s="1"/>
  <c r="E411" i="3"/>
  <c r="F407" i="3"/>
  <c r="F406" i="3"/>
  <c r="E405" i="3"/>
  <c r="F393" i="3"/>
  <c r="F392" i="3"/>
  <c r="F383" i="3"/>
  <c r="F382" i="3"/>
  <c r="F381" i="3"/>
  <c r="E380" i="3"/>
  <c r="F375" i="3"/>
  <c r="F374" i="3"/>
  <c r="F373" i="3"/>
  <c r="F371" i="3"/>
  <c r="F370" i="3"/>
  <c r="E369" i="3"/>
  <c r="F354" i="3"/>
  <c r="F353" i="3"/>
  <c r="F352" i="3"/>
  <c r="F351" i="3"/>
  <c r="F350" i="3"/>
  <c r="F349" i="3"/>
  <c r="F348" i="3"/>
  <c r="E347" i="3"/>
  <c r="F341" i="3"/>
  <c r="F340" i="3"/>
  <c r="F339" i="3"/>
  <c r="F331" i="3"/>
  <c r="F330" i="3"/>
  <c r="F329" i="3"/>
  <c r="E328" i="3"/>
  <c r="F309" i="3"/>
  <c r="F308" i="3"/>
  <c r="F307" i="3"/>
  <c r="F306" i="3"/>
  <c r="E305" i="3"/>
  <c r="F293" i="3"/>
  <c r="F292" i="3"/>
  <c r="F291" i="3"/>
  <c r="F290" i="3"/>
  <c r="F289" i="3"/>
  <c r="F281" i="3"/>
  <c r="F280" i="3"/>
  <c r="F279" i="3"/>
  <c r="F278" i="3"/>
  <c r="F277" i="3"/>
  <c r="F276" i="3"/>
  <c r="F275" i="3"/>
  <c r="F273" i="3"/>
  <c r="F272" i="3"/>
  <c r="F271" i="3"/>
  <c r="F269" i="3"/>
  <c r="F268" i="3"/>
  <c r="F267" i="3"/>
  <c r="F266" i="3"/>
  <c r="F265" i="3"/>
  <c r="E264" i="3"/>
  <c r="F257" i="3"/>
  <c r="F242" i="3"/>
  <c r="F240" i="3"/>
  <c r="F239" i="3"/>
  <c r="F238" i="3"/>
  <c r="E237" i="3"/>
  <c r="F237" i="3" s="1"/>
  <c r="E235" i="3"/>
  <c r="F235" i="3" s="1"/>
  <c r="E234" i="3"/>
  <c r="E233" i="3"/>
  <c r="E231" i="3"/>
  <c r="E230" i="3"/>
  <c r="F230" i="3" s="1"/>
  <c r="E229" i="3"/>
  <c r="F228" i="3"/>
  <c r="E227" i="3"/>
  <c r="F227" i="3" s="1"/>
  <c r="E226" i="3"/>
  <c r="F224" i="3"/>
  <c r="F223" i="3"/>
  <c r="F222" i="3"/>
  <c r="E221" i="3"/>
  <c r="F220" i="3"/>
  <c r="F219" i="3"/>
  <c r="F218" i="3"/>
  <c r="F212" i="3"/>
  <c r="F211" i="3"/>
  <c r="F210" i="3"/>
  <c r="E209" i="3"/>
  <c r="F209" i="3" s="1"/>
  <c r="E208" i="3"/>
  <c r="F204" i="3"/>
  <c r="F203" i="3"/>
  <c r="F202" i="3"/>
  <c r="F201" i="3"/>
  <c r="E200" i="3"/>
  <c r="F199" i="3"/>
  <c r="E198" i="3"/>
  <c r="F195" i="3"/>
  <c r="E194" i="3"/>
  <c r="F183" i="3"/>
  <c r="F182" i="3"/>
  <c r="F181" i="3"/>
  <c r="E180" i="3"/>
  <c r="F180" i="3" s="1"/>
  <c r="E179" i="3"/>
  <c r="F179" i="3" s="1"/>
  <c r="E178" i="3"/>
  <c r="F173" i="3"/>
  <c r="F172" i="3"/>
  <c r="E171" i="3"/>
  <c r="F171" i="3" s="1"/>
  <c r="E170" i="3"/>
  <c r="F169" i="3"/>
  <c r="F168" i="3"/>
  <c r="F167" i="3"/>
  <c r="F166" i="3"/>
  <c r="F158" i="3"/>
  <c r="F157" i="3"/>
  <c r="F156" i="3"/>
  <c r="F155" i="3"/>
  <c r="E151" i="3"/>
  <c r="F145" i="3"/>
  <c r="F144" i="3"/>
  <c r="F142" i="3"/>
  <c r="F140" i="3"/>
  <c r="F135" i="3"/>
  <c r="F129" i="3"/>
  <c r="E128" i="3"/>
  <c r="F128" i="3" s="1"/>
  <c r="F116" i="3"/>
  <c r="F115" i="3"/>
  <c r="F102" i="3"/>
  <c r="F93" i="3"/>
  <c r="F82" i="3"/>
  <c r="F81" i="3"/>
  <c r="F80" i="3"/>
  <c r="F79" i="3"/>
  <c r="F69" i="3"/>
  <c r="F59" i="3"/>
  <c r="F58" i="3"/>
  <c r="F56" i="3"/>
  <c r="F55" i="3"/>
  <c r="F54" i="3"/>
  <c r="F52" i="3"/>
  <c r="F51" i="3"/>
  <c r="F50" i="3"/>
  <c r="F48" i="3"/>
  <c r="F47" i="3"/>
  <c r="F46" i="3"/>
  <c r="F44" i="3"/>
  <c r="F43" i="3"/>
  <c r="F42" i="3"/>
  <c r="F40" i="3"/>
  <c r="F38" i="3"/>
  <c r="F37" i="3"/>
  <c r="F36" i="3"/>
  <c r="F35" i="3"/>
  <c r="F34" i="3"/>
  <c r="F32" i="3"/>
  <c r="F31" i="3"/>
  <c r="F30" i="3"/>
  <c r="F23" i="3"/>
  <c r="F22" i="3"/>
  <c r="F20" i="3"/>
  <c r="F19" i="3"/>
  <c r="F17" i="3"/>
  <c r="F16" i="3"/>
  <c r="F15" i="3"/>
  <c r="F13" i="3"/>
  <c r="G12" i="3"/>
  <c r="G32" i="2"/>
  <c r="G33" i="2" s="1"/>
  <c r="G34" i="2" s="1"/>
  <c r="G35" i="2" s="1"/>
  <c r="G36" i="2" s="1"/>
  <c r="G38" i="2" s="1"/>
  <c r="G39" i="2" s="1"/>
  <c r="G40" i="2" s="1"/>
  <c r="G41" i="2" s="1"/>
  <c r="G42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F30" i="2"/>
  <c r="F26" i="2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8" i="2" s="1"/>
  <c r="F26" i="1"/>
  <c r="G12" i="1"/>
  <c r="G13" i="1" s="1"/>
  <c r="G14" i="1" s="1"/>
  <c r="G15" i="1" s="1"/>
  <c r="G16" i="1" s="1"/>
  <c r="G17" i="1" s="1"/>
  <c r="G18" i="1" s="1"/>
  <c r="G19" i="1" s="1"/>
  <c r="G20" i="1" s="1"/>
  <c r="G23" i="1" s="1"/>
  <c r="G24" i="1" s="1"/>
  <c r="G25" i="1" s="1"/>
  <c r="G29" i="1" s="1"/>
  <c r="G30" i="1" s="1"/>
  <c r="G31" i="1" s="1"/>
  <c r="G35" i="1" s="1"/>
  <c r="G40" i="1" s="1"/>
  <c r="G41" i="1" s="1"/>
  <c r="G42" i="1" s="1"/>
  <c r="G43" i="1" s="1"/>
  <c r="G44" i="1" s="1"/>
  <c r="H29" i="14" l="1"/>
  <c r="F24" i="15"/>
  <c r="F26" i="15" s="1"/>
  <c r="F213" i="14"/>
  <c r="G45" i="1"/>
  <c r="G46" i="1" s="1"/>
  <c r="G47" i="1" s="1"/>
  <c r="G48" i="1" s="1"/>
  <c r="G49" i="1" s="1"/>
  <c r="G50" i="1" s="1"/>
  <c r="G51" i="1" s="1"/>
  <c r="G52" i="1" s="1"/>
  <c r="H30" i="14"/>
  <c r="H15" i="14"/>
  <c r="H39" i="14"/>
  <c r="G13" i="14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  <c r="G129" i="14" s="1"/>
  <c r="G130" i="14" s="1"/>
  <c r="G131" i="14" s="1"/>
  <c r="G132" i="14" s="1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G151" i="14" s="1"/>
  <c r="G152" i="14" s="1"/>
  <c r="G153" i="14" s="1"/>
  <c r="G154" i="14" s="1"/>
  <c r="G155" i="14" s="1"/>
  <c r="G156" i="14" s="1"/>
  <c r="G157" i="14" s="1"/>
  <c r="G158" i="14" s="1"/>
  <c r="G159" i="14" s="1"/>
  <c r="G160" i="14" s="1"/>
  <c r="G161" i="14" s="1"/>
  <c r="G162" i="14" s="1"/>
  <c r="G163" i="14" s="1"/>
  <c r="G164" i="14" s="1"/>
  <c r="G165" i="14" s="1"/>
  <c r="G166" i="14" s="1"/>
  <c r="G167" i="14" s="1"/>
  <c r="G168" i="14" s="1"/>
  <c r="G169" i="14" s="1"/>
  <c r="G170" i="14" s="1"/>
  <c r="G171" i="14" s="1"/>
  <c r="G172" i="14" s="1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s="1"/>
  <c r="G184" i="14" s="1"/>
  <c r="G185" i="14" s="1"/>
  <c r="G186" i="14" s="1"/>
  <c r="G187" i="14" s="1"/>
  <c r="G188" i="14" s="1"/>
  <c r="G189" i="14" s="1"/>
  <c r="G190" i="14" s="1"/>
  <c r="G191" i="14" s="1"/>
  <c r="G192" i="14" s="1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5" i="14" s="1"/>
  <c r="G216" i="14" s="1"/>
  <c r="G217" i="14" s="1"/>
  <c r="G218" i="14" s="1"/>
  <c r="G219" i="14" s="1"/>
  <c r="G220" i="14" s="1"/>
  <c r="G221" i="14" s="1"/>
  <c r="G222" i="14" s="1"/>
  <c r="G223" i="14" s="1"/>
  <c r="G224" i="14" s="1"/>
  <c r="G225" i="14" s="1"/>
  <c r="G226" i="14" s="1"/>
  <c r="G227" i="14" s="1"/>
  <c r="G228" i="14" s="1"/>
  <c r="G229" i="14" s="1"/>
  <c r="G230" i="14" s="1"/>
  <c r="G231" i="14" s="1"/>
  <c r="G232" i="14" s="1"/>
  <c r="G233" i="14" s="1"/>
  <c r="G234" i="14" s="1"/>
  <c r="G235" i="14" s="1"/>
  <c r="G236" i="14" s="1"/>
  <c r="G237" i="14" s="1"/>
  <c r="G238" i="14" s="1"/>
  <c r="G239" i="14" s="1"/>
  <c r="G240" i="14" s="1"/>
  <c r="G241" i="14" s="1"/>
  <c r="G242" i="14" s="1"/>
  <c r="G243" i="14" s="1"/>
  <c r="G244" i="14" s="1"/>
  <c r="G245" i="14" s="1"/>
  <c r="G246" i="14" s="1"/>
  <c r="G247" i="14" s="1"/>
  <c r="G248" i="14" s="1"/>
  <c r="G249" i="14" s="1"/>
  <c r="G250" i="14" s="1"/>
  <c r="G251" i="14" s="1"/>
  <c r="G252" i="14" s="1"/>
  <c r="G253" i="14" s="1"/>
  <c r="G254" i="14" s="1"/>
  <c r="G255" i="14" s="1"/>
  <c r="G256" i="14" s="1"/>
  <c r="G257" i="14" s="1"/>
  <c r="G258" i="14" s="1"/>
  <c r="G259" i="14" s="1"/>
  <c r="G260" i="14" s="1"/>
  <c r="G261" i="14" s="1"/>
  <c r="G262" i="14" s="1"/>
  <c r="G263" i="14" s="1"/>
  <c r="G264" i="14" s="1"/>
  <c r="G265" i="14" s="1"/>
  <c r="G266" i="14" s="1"/>
  <c r="G267" i="14" s="1"/>
  <c r="G268" i="14" s="1"/>
  <c r="G269" i="14" s="1"/>
  <c r="G270" i="14" s="1"/>
  <c r="G271" i="14" s="1"/>
  <c r="G272" i="14" s="1"/>
  <c r="G273" i="14" s="1"/>
  <c r="G274" i="14" s="1"/>
  <c r="G275" i="14" s="1"/>
  <c r="G276" i="14" s="1"/>
  <c r="G277" i="14" s="1"/>
  <c r="G278" i="14" s="1"/>
  <c r="G279" i="14" s="1"/>
  <c r="G280" i="14" s="1"/>
  <c r="G281" i="14" s="1"/>
  <c r="G282" i="14" s="1"/>
  <c r="G283" i="14" s="1"/>
  <c r="G284" i="14" s="1"/>
  <c r="G285" i="14" s="1"/>
  <c r="G286" i="14" s="1"/>
  <c r="G287" i="14" s="1"/>
  <c r="G288" i="14" s="1"/>
  <c r="G289" i="14" s="1"/>
  <c r="G290" i="14" s="1"/>
  <c r="G291" i="14" s="1"/>
  <c r="G292" i="14" s="1"/>
  <c r="G293" i="14" s="1"/>
  <c r="G294" i="14" s="1"/>
  <c r="G295" i="14" s="1"/>
  <c r="G296" i="14" s="1"/>
  <c r="G297" i="14" s="1"/>
  <c r="G298" i="14" s="1"/>
  <c r="G299" i="14" s="1"/>
  <c r="G300" i="14" s="1"/>
  <c r="G301" i="14" s="1"/>
  <c r="G302" i="14" s="1"/>
  <c r="G303" i="14" s="1"/>
  <c r="G304" i="14" s="1"/>
  <c r="G305" i="14" s="1"/>
  <c r="G306" i="14" s="1"/>
  <c r="G307" i="14" s="1"/>
  <c r="G308" i="14" s="1"/>
  <c r="G309" i="14" s="1"/>
  <c r="G310" i="14" s="1"/>
  <c r="G311" i="14" s="1"/>
  <c r="G312" i="14" s="1"/>
  <c r="G313" i="14" s="1"/>
  <c r="G314" i="14" s="1"/>
  <c r="G315" i="14" s="1"/>
  <c r="G316" i="14" s="1"/>
  <c r="G317" i="14" s="1"/>
  <c r="G318" i="14" s="1"/>
  <c r="G319" i="14" s="1"/>
  <c r="G320" i="14" s="1"/>
  <c r="G321" i="14" s="1"/>
  <c r="G322" i="14" s="1"/>
  <c r="G323" i="14" s="1"/>
  <c r="G324" i="14" s="1"/>
  <c r="G325" i="14" s="1"/>
  <c r="G326" i="14" s="1"/>
  <c r="G327" i="14" s="1"/>
  <c r="G328" i="14" s="1"/>
  <c r="G329" i="14" s="1"/>
  <c r="G330" i="14" s="1"/>
  <c r="G331" i="14" s="1"/>
  <c r="G332" i="14" s="1"/>
  <c r="G333" i="14" s="1"/>
  <c r="G334" i="14" s="1"/>
  <c r="G335" i="14" s="1"/>
  <c r="G336" i="14" s="1"/>
  <c r="G337" i="14" s="1"/>
  <c r="G338" i="14" s="1"/>
  <c r="G339" i="14" s="1"/>
  <c r="G340" i="14" s="1"/>
  <c r="G341" i="14" s="1"/>
  <c r="G342" i="14" s="1"/>
  <c r="G343" i="14" s="1"/>
  <c r="G344" i="14" s="1"/>
  <c r="G345" i="14" s="1"/>
  <c r="G346" i="14" s="1"/>
  <c r="G347" i="14" s="1"/>
  <c r="G348" i="14" s="1"/>
  <c r="G349" i="14" s="1"/>
  <c r="G350" i="14" s="1"/>
  <c r="G351" i="14" s="1"/>
  <c r="G352" i="14" s="1"/>
  <c r="G353" i="14" s="1"/>
  <c r="G354" i="14" s="1"/>
  <c r="G355" i="14" s="1"/>
  <c r="G356" i="14" s="1"/>
  <c r="G357" i="14" s="1"/>
  <c r="G358" i="14" s="1"/>
  <c r="G359" i="14" s="1"/>
  <c r="G360" i="14" s="1"/>
  <c r="G361" i="14" s="1"/>
  <c r="G362" i="14" s="1"/>
  <c r="G363" i="14" s="1"/>
  <c r="G364" i="14" s="1"/>
  <c r="G365" i="14" s="1"/>
  <c r="G366" i="14" s="1"/>
  <c r="G367" i="14" s="1"/>
  <c r="G368" i="14" s="1"/>
  <c r="F542" i="3"/>
  <c r="G13" i="3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F151" i="3"/>
  <c r="E301" i="3"/>
  <c r="F233" i="3"/>
  <c r="F301" i="3" s="1"/>
  <c r="G233" i="3" l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G385" i="3" s="1"/>
  <c r="G386" i="3" s="1"/>
  <c r="G387" i="3" s="1"/>
  <c r="G388" i="3" s="1"/>
  <c r="G389" i="3" s="1"/>
  <c r="G390" i="3" s="1"/>
  <c r="G391" i="3" s="1"/>
  <c r="G392" i="3" s="1"/>
  <c r="G393" i="3" s="1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 s="1"/>
  <c r="G450" i="3" s="1"/>
  <c r="G451" i="3" s="1"/>
  <c r="G452" i="3" s="1"/>
  <c r="G453" i="3" s="1"/>
  <c r="G454" i="3" s="1"/>
  <c r="G455" i="3" s="1"/>
  <c r="G456" i="3" l="1"/>
  <c r="G457" i="3" s="1"/>
  <c r="G458" i="3" s="1"/>
  <c r="G459" i="3" s="1"/>
  <c r="G460" i="3" s="1"/>
  <c r="G461" i="3" s="1"/>
  <c r="G462" i="3" s="1"/>
  <c r="G463" i="3" s="1"/>
  <c r="G464" i="3" s="1"/>
  <c r="G465" i="3" s="1"/>
  <c r="G466" i="3" s="1"/>
  <c r="G467" i="3" s="1"/>
  <c r="G468" i="3" s="1"/>
  <c r="G469" i="3" s="1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 s="1"/>
  <c r="G483" i="3" s="1"/>
  <c r="G484" i="3" s="1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G497" i="3" s="1"/>
  <c r="G498" i="3" s="1"/>
  <c r="G499" i="3" s="1"/>
  <c r="G500" i="3" s="1"/>
  <c r="G501" i="3" s="1"/>
  <c r="G502" i="3" s="1"/>
  <c r="G503" i="3" s="1"/>
  <c r="G504" i="3" s="1"/>
  <c r="G505" i="3" s="1"/>
  <c r="G506" i="3" s="1"/>
  <c r="G507" i="3" s="1"/>
  <c r="G508" i="3" s="1"/>
  <c r="G509" i="3" s="1"/>
  <c r="G510" i="3" s="1"/>
  <c r="G511" i="3" s="1"/>
  <c r="G512" i="3" s="1"/>
  <c r="G513" i="3" s="1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G525" i="3" s="1"/>
  <c r="G526" i="3" s="1"/>
  <c r="G527" i="3" s="1"/>
  <c r="G528" i="3" s="1"/>
  <c r="G529" i="3" s="1"/>
  <c r="G530" i="3" l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6" i="3" s="1"/>
  <c r="G547" i="3" s="1"/>
  <c r="G548" i="3" s="1"/>
  <c r="G549" i="3" l="1"/>
  <c r="G550" i="3" s="1"/>
  <c r="G551" i="3" s="1"/>
  <c r="G552" i="3" s="1"/>
  <c r="G553" i="3" s="1"/>
  <c r="G554" i="3" s="1"/>
  <c r="G555" i="3" s="1"/>
  <c r="G556" i="3" s="1"/>
  <c r="G557" i="3" s="1"/>
  <c r="G558" i="3" l="1"/>
  <c r="G559" i="3" s="1"/>
  <c r="G560" i="3" s="1"/>
  <c r="G561" i="3" s="1"/>
  <c r="G562" i="3" s="1"/>
  <c r="G563" i="3" s="1"/>
  <c r="G564" i="3" s="1"/>
  <c r="G565" i="3" s="1"/>
  <c r="G566" i="3" s="1"/>
  <c r="G567" i="3" s="1"/>
  <c r="G568" i="3" s="1"/>
  <c r="G569" i="3" s="1"/>
  <c r="G570" i="3" s="1"/>
  <c r="G571" i="3" s="1"/>
  <c r="G572" i="3" s="1"/>
  <c r="G573" i="3" s="1"/>
  <c r="G574" i="3" s="1"/>
  <c r="G575" i="3" s="1"/>
  <c r="G576" i="3" s="1"/>
  <c r="G577" i="3" l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G593" i="3" s="1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G605" i="3" s="1"/>
  <c r="G606" i="3" l="1"/>
  <c r="G607" i="3" s="1"/>
  <c r="G608" i="3" l="1"/>
  <c r="G609" i="3" s="1"/>
  <c r="G610" i="3" s="1"/>
  <c r="G611" i="3" s="1"/>
  <c r="G612" i="3" s="1"/>
  <c r="G613" i="3" s="1"/>
  <c r="G614" i="3" s="1"/>
  <c r="G615" i="3" s="1"/>
  <c r="G616" i="3" s="1"/>
  <c r="G617" i="3" s="1"/>
  <c r="G618" i="3" s="1"/>
  <c r="G619" i="3" s="1"/>
  <c r="G620" i="3" s="1"/>
  <c r="G621" i="3" s="1"/>
  <c r="G622" i="3" s="1"/>
  <c r="G623" i="3" s="1"/>
  <c r="G624" i="3" s="1"/>
  <c r="G625" i="3" s="1"/>
  <c r="G626" i="3" s="1"/>
  <c r="G627" i="3" s="1"/>
  <c r="G628" i="3" s="1"/>
  <c r="G629" i="3" s="1"/>
  <c r="G630" i="3" s="1"/>
  <c r="G631" i="3" s="1"/>
  <c r="G632" i="3" s="1"/>
  <c r="G633" i="3" s="1"/>
  <c r="G634" i="3" s="1"/>
  <c r="G635" i="3" s="1"/>
  <c r="G636" i="3" s="1"/>
  <c r="G637" i="3" s="1"/>
  <c r="G638" i="3" s="1"/>
  <c r="G639" i="3" s="1"/>
  <c r="G640" i="3" s="1"/>
  <c r="G641" i="3" s="1"/>
  <c r="G642" i="3" s="1"/>
  <c r="G643" i="3" s="1"/>
  <c r="G644" i="3" s="1"/>
  <c r="G645" i="3" s="1"/>
  <c r="G646" i="3" s="1"/>
  <c r="G647" i="3" s="1"/>
  <c r="G648" i="3" s="1"/>
  <c r="G649" i="3" s="1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l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G712" i="3" s="1"/>
  <c r="G713" i="3" s="1"/>
  <c r="G714" i="3" s="1"/>
  <c r="G715" i="3" s="1"/>
  <c r="G716" i="3" s="1"/>
  <c r="G717" i="3" s="1"/>
  <c r="G718" i="3" s="1"/>
  <c r="G719" i="3" s="1"/>
  <c r="G720" i="3" s="1"/>
  <c r="G721" i="3" s="1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G732" i="3" s="1"/>
  <c r="G733" i="3" s="1"/>
  <c r="G734" i="3" s="1"/>
  <c r="G735" i="3" s="1"/>
  <c r="G736" i="3" s="1"/>
  <c r="G737" i="3" s="1"/>
  <c r="G738" i="3" s="1"/>
  <c r="G739" i="3" s="1"/>
  <c r="G740" i="3" s="1"/>
  <c r="G741" i="3" s="1"/>
  <c r="G742" i="3" s="1"/>
  <c r="G744" i="3" s="1"/>
  <c r="G745" i="3" s="1"/>
  <c r="G746" i="3" s="1"/>
  <c r="G747" i="3" s="1"/>
  <c r="G748" i="3" l="1"/>
  <c r="G749" i="3" s="1"/>
  <c r="G750" i="3" s="1"/>
  <c r="G751" i="3" s="1"/>
  <c r="G752" i="3" s="1"/>
  <c r="G753" i="3" s="1"/>
  <c r="G754" i="3" s="1"/>
  <c r="G755" i="3" s="1"/>
  <c r="G756" i="3" s="1"/>
  <c r="G757" i="3" s="1"/>
  <c r="G758" i="3" s="1"/>
  <c r="G759" i="3" s="1"/>
  <c r="G760" i="3" s="1"/>
  <c r="G761" i="3" l="1"/>
  <c r="G762" i="3" s="1"/>
  <c r="G763" i="3" s="1"/>
  <c r="G764" i="3" s="1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G775" i="3" s="1"/>
  <c r="G776" i="3" s="1"/>
  <c r="G777" i="3" s="1"/>
  <c r="G778" i="3" s="1"/>
  <c r="G779" i="3" s="1"/>
  <c r="G780" i="3" s="1"/>
  <c r="G781" i="3" s="1"/>
  <c r="G782" i="3" s="1"/>
  <c r="G783" i="3" s="1"/>
  <c r="G784" i="3" s="1"/>
  <c r="G785" i="3" s="1"/>
  <c r="G786" i="3" s="1"/>
  <c r="G787" i="3" s="1"/>
  <c r="G788" i="3" s="1"/>
  <c r="G789" i="3" s="1"/>
  <c r="G790" i="3" s="1"/>
  <c r="G791" i="3" s="1"/>
  <c r="G792" i="3" s="1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G804" i="3" s="1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G818" i="3" s="1"/>
  <c r="G819" i="3" s="1"/>
  <c r="G820" i="3" s="1"/>
  <c r="G821" i="3" s="1"/>
  <c r="G822" i="3" s="1"/>
  <c r="G823" i="3" s="1"/>
  <c r="G824" i="3" s="1"/>
  <c r="G825" i="3" s="1"/>
  <c r="G826" i="3" s="1"/>
  <c r="G827" i="3" s="1"/>
  <c r="G828" i="3" s="1"/>
  <c r="G829" i="3" s="1"/>
  <c r="G830" i="3" s="1"/>
  <c r="G831" i="3" s="1"/>
  <c r="G832" i="3" s="1"/>
  <c r="G833" i="3" s="1"/>
  <c r="G834" i="3" s="1"/>
  <c r="G835" i="3" s="1"/>
  <c r="G836" i="3" s="1"/>
  <c r="G837" i="3" s="1"/>
  <c r="G838" i="3" s="1"/>
  <c r="G839" i="3" s="1"/>
  <c r="G840" i="3" s="1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G851" i="3" s="1"/>
  <c r="G852" i="3" s="1"/>
  <c r="G853" i="3" s="1"/>
  <c r="G854" i="3" s="1"/>
  <c r="G855" i="3" s="1"/>
  <c r="G856" i="3" s="1"/>
  <c r="G857" i="3" s="1"/>
  <c r="G858" i="3" s="1"/>
  <c r="G859" i="3" s="1"/>
  <c r="G860" i="3" s="1"/>
  <c r="G861" i="3" s="1"/>
  <c r="G862" i="3" s="1"/>
  <c r="G863" i="3" s="1"/>
  <c r="G864" i="3" s="1"/>
  <c r="G865" i="3" s="1"/>
  <c r="G866" i="3" s="1"/>
  <c r="G867" i="3" s="1"/>
  <c r="G868" i="3" s="1"/>
  <c r="G869" i="3" s="1"/>
  <c r="G870" i="3" s="1"/>
  <c r="G871" i="3" s="1"/>
  <c r="G872" i="3" s="1"/>
  <c r="G873" i="3" s="1"/>
  <c r="G874" i="3" s="1"/>
  <c r="G875" i="3" s="1"/>
  <c r="G876" i="3" s="1"/>
  <c r="G877" i="3" s="1"/>
  <c r="G878" i="3" s="1"/>
  <c r="G879" i="3" s="1"/>
  <c r="G880" i="3" s="1"/>
  <c r="G881" i="3" s="1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G908" i="3" s="1"/>
  <c r="G909" i="3" s="1"/>
  <c r="G910" i="3" s="1"/>
  <c r="G911" i="3" s="1"/>
  <c r="G912" i="3" s="1"/>
  <c r="G913" i="3" s="1"/>
  <c r="G914" i="3" s="1"/>
  <c r="G915" i="3" s="1"/>
  <c r="G916" i="3" s="1"/>
  <c r="G917" i="3" s="1"/>
  <c r="G918" i="3" s="1"/>
  <c r="G919" i="3" s="1"/>
  <c r="G920" i="3" s="1"/>
  <c r="G921" i="3" s="1"/>
  <c r="G922" i="3" s="1"/>
  <c r="G923" i="3" l="1"/>
  <c r="G924" i="3" s="1"/>
  <c r="G925" i="3" s="1"/>
  <c r="G926" i="3" s="1"/>
  <c r="G927" i="3" s="1"/>
  <c r="G928" i="3" s="1"/>
  <c r="G929" i="3" s="1"/>
  <c r="G930" i="3" s="1"/>
  <c r="G931" i="3" s="1"/>
  <c r="G932" i="3" s="1"/>
</calcChain>
</file>

<file path=xl/sharedStrings.xml><?xml version="1.0" encoding="utf-8"?>
<sst xmlns="http://schemas.openxmlformats.org/spreadsheetml/2006/main" count="4550" uniqueCount="1435">
  <si>
    <t xml:space="preserve">     </t>
  </si>
  <si>
    <t>MINISTERIO DE SALUD PÚBLICA</t>
  </si>
  <si>
    <t>CIUDAD SANITARIA DRA. ANDREA EVANGELINA RODRIGUEZ PEROZO</t>
  </si>
  <si>
    <t xml:space="preserve">HOSPITAL  MATERNO </t>
  </si>
  <si>
    <t>LIBRO DE BANCO  CUENTA DE SUBVENCION NUMERO 033-002877-4 BANRESERVAS</t>
  </si>
  <si>
    <t>FECHA</t>
  </si>
  <si>
    <t>CHEQUE NO.</t>
  </si>
  <si>
    <t>NOMBRE</t>
  </si>
  <si>
    <t>CONCEPTO</t>
  </si>
  <si>
    <t>DEBITO</t>
  </si>
  <si>
    <t>CREDITO</t>
  </si>
  <si>
    <t>BALANCE</t>
  </si>
  <si>
    <t>TRANSFERENCIA</t>
  </si>
  <si>
    <t>DEPOSITO</t>
  </si>
  <si>
    <t xml:space="preserve">       AUX. DE CONTABILIDAD</t>
  </si>
  <si>
    <t>GERENTE DE CONTABILIDAD</t>
  </si>
  <si>
    <t xml:space="preserve">                HECHO POR</t>
  </si>
  <si>
    <t>REVISADO POR</t>
  </si>
  <si>
    <t xml:space="preserve"> </t>
  </si>
  <si>
    <t>DR. REYNALDO ALMANZAR</t>
  </si>
  <si>
    <t>LIBRO DE BANCO  CUENTA DE OPERATIVA NUMERO 033-002878-2 BANRESERVAS</t>
  </si>
  <si>
    <t>LIBRO DE BANCO  CUENTA  UNICA NUMERO 0102524866 TESORERIA NACIONAL</t>
  </si>
  <si>
    <t>COBRO A PACIENTES</t>
  </si>
  <si>
    <t>ARS SENASA CONTRIBUTIVO</t>
  </si>
  <si>
    <t>ARS YUNEN</t>
  </si>
  <si>
    <t>ARS META SALUD</t>
  </si>
  <si>
    <t>ARS SENASA SUBSIDIADO</t>
  </si>
  <si>
    <t>ARS FUTURO</t>
  </si>
  <si>
    <t>ARS SEMMA</t>
  </si>
  <si>
    <t xml:space="preserve">         AUTORIZADO POR</t>
  </si>
  <si>
    <t>AL 31/12/2020</t>
  </si>
  <si>
    <t>ARS MAFRE SALUD</t>
  </si>
  <si>
    <t>LIBRAMIENTO</t>
  </si>
  <si>
    <t>ARS UNIVERSAL</t>
  </si>
  <si>
    <t>BIO WIN, SRL</t>
  </si>
  <si>
    <t>DRUCKER, SRL</t>
  </si>
  <si>
    <t>NOMBRE DE LA CUENTA</t>
  </si>
  <si>
    <t>NUMERO</t>
  </si>
  <si>
    <t>CUENTA UNICA</t>
  </si>
  <si>
    <t>CUENTA OPERATIVA</t>
  </si>
  <si>
    <t>CUENTA SUBVENCION</t>
  </si>
  <si>
    <t xml:space="preserve"> 033-002878-2</t>
  </si>
  <si>
    <t>010-252486-6</t>
  </si>
  <si>
    <t>033-002877-4</t>
  </si>
  <si>
    <t>NULO</t>
  </si>
  <si>
    <t xml:space="preserve">                                                                               SUBDIRECTOR ADMINISTRATIVO Y FINANCIERO</t>
  </si>
  <si>
    <t xml:space="preserve">   AUTORIZADO POR</t>
  </si>
  <si>
    <t>REGINALDO GOMEZ PEREZ</t>
  </si>
  <si>
    <t>COBRO DE TARJETA</t>
  </si>
  <si>
    <t>ARS RESERVAS</t>
  </si>
  <si>
    <t>MEDICAMENTOS Y EQUIPOS NUÑEZ FRIAS, SRL</t>
  </si>
  <si>
    <t>FERNANDO ANTONIO BONILLA DIAZ</t>
  </si>
  <si>
    <t>CESAR AUGUSTO PEREZ SUBEREN</t>
  </si>
  <si>
    <t>PRODUCTOS DEL SOL, SRL</t>
  </si>
  <si>
    <t>GAROSS PHARMA, SRL</t>
  </si>
  <si>
    <t>FRI FARMA, SRL</t>
  </si>
  <si>
    <t>GTG INDUSTRIAL, SRL</t>
  </si>
  <si>
    <t>BIO NOVA, SRL</t>
  </si>
  <si>
    <t>DEEPAK ENTERPRISES, SRL</t>
  </si>
  <si>
    <t>MEDICAMENTOS COMERCIALES NUÑEZ MORALES, SRL</t>
  </si>
  <si>
    <t xml:space="preserve">  Lic. Geraldo A. Acosta</t>
  </si>
  <si>
    <t xml:space="preserve">               GERENTE DE CONTABILIDAD</t>
  </si>
  <si>
    <t>ULTRALAB, SRL</t>
  </si>
  <si>
    <t xml:space="preserve">ROSSY YOMEIDY RAMIREZ DE DIOS </t>
  </si>
  <si>
    <t xml:space="preserve">           Licda. Leidy Sanchez</t>
  </si>
  <si>
    <t>Licda. Leidy Sanchez</t>
  </si>
  <si>
    <t xml:space="preserve">    AUX. DE CONTABILIDAD</t>
  </si>
  <si>
    <t xml:space="preserve">             HECHO POR</t>
  </si>
  <si>
    <t xml:space="preserve">         REVISADO POR</t>
  </si>
  <si>
    <t>PRIMERA ARS DE HUMANO</t>
  </si>
  <si>
    <t xml:space="preserve">    Sra. Lorena De la Cruz</t>
  </si>
  <si>
    <t xml:space="preserve">         </t>
  </si>
  <si>
    <t xml:space="preserve">ARS MAFRE SALUD </t>
  </si>
  <si>
    <t xml:space="preserve">TRANSFERENCIA </t>
  </si>
  <si>
    <t>PHARMACEUTICAL TECHNOLOGY, S.A</t>
  </si>
  <si>
    <t>EMPRESA GALATICA SRL</t>
  </si>
  <si>
    <t>FARMACO QUIMICA NACIONAL, SA (FARMACONAL)</t>
  </si>
  <si>
    <t xml:space="preserve">ARS META SALUD </t>
  </si>
  <si>
    <t>GLOBAL MULTI-PHARMA DOMINICANA THM, SRL</t>
  </si>
  <si>
    <t>APS ARS, S.A</t>
  </si>
  <si>
    <t>ARS MONUMENTAL, S.A</t>
  </si>
  <si>
    <t>ALTICE DOMINICANA, SA</t>
  </si>
  <si>
    <t>ARS GMA</t>
  </si>
  <si>
    <t>FUMIGADORA ISABEL VALLEJO, SRL</t>
  </si>
  <si>
    <t>ALIANZA INNOVADORA DE SERVICIOS AMBIENTALES, SRL</t>
  </si>
  <si>
    <t xml:space="preserve"> Lic. Geraldo A. Acosta</t>
  </si>
  <si>
    <t>ARS CMD</t>
  </si>
  <si>
    <t xml:space="preserve">AGUA PLANETA AZUL C POR A </t>
  </si>
  <si>
    <t xml:space="preserve">ARS RENACER </t>
  </si>
  <si>
    <t>GASTABLES DEL CARIBE, SRL (GADECA)</t>
  </si>
  <si>
    <t xml:space="preserve">ARS SEMMA </t>
  </si>
  <si>
    <t>DENTAL &amp; MEDICAL DEPOT, SRL</t>
  </si>
  <si>
    <t>CRISNALIZ ALL SUPPLY, SRL</t>
  </si>
  <si>
    <t>PAGO DE CAFETERIA</t>
  </si>
  <si>
    <t xml:space="preserve">I M D MEDIC INTER C POR A </t>
  </si>
  <si>
    <t>PEREZ BARROSO, SRL</t>
  </si>
  <si>
    <t>INGENIERIA TECNOLOGIA Y SERVICIOS OROZCO SRL</t>
  </si>
  <si>
    <t>CORPORACION ACUEDUCTO ALCANTARILLADO SANTO DOMINGO (CAASD)</t>
  </si>
  <si>
    <t>HUMANO SEGURO</t>
  </si>
  <si>
    <t>DOMINICAN HOSPITALITY SUPPLY, DHS, SRL</t>
  </si>
  <si>
    <t>MULTISERVICIOS F&amp;S, SRL</t>
  </si>
  <si>
    <t>LISSELOT CESPEDES REYES</t>
  </si>
  <si>
    <t xml:space="preserve">  Licdo. Geraldo A. Acosta</t>
  </si>
  <si>
    <t>PAGO RETENCION SEGURIDAD SOCIAL SEPTIEMBRE 2021.</t>
  </si>
  <si>
    <t>AYUNTAMIENTO DE SANTO DOMINGO NORTE</t>
  </si>
  <si>
    <t>2646-1</t>
  </si>
  <si>
    <t>2681-1</t>
  </si>
  <si>
    <t>RETENCION IR-17</t>
  </si>
  <si>
    <t>PAGO DE RETENCION IR-17</t>
  </si>
  <si>
    <t>2685-1</t>
  </si>
  <si>
    <t>RETENCION 30% ITBIS</t>
  </si>
  <si>
    <t>PAGO RETENCION 30% ITBIS CORRESPONDIENTE MES DE SEPT.2021</t>
  </si>
  <si>
    <t>2690-1</t>
  </si>
  <si>
    <t>PAGO A FACT. 1267,1275,1281,1301 Y 1288 COMPRA DE SANGRE DE CARNERO</t>
  </si>
  <si>
    <t>2694-1</t>
  </si>
  <si>
    <t>PAGO A FACT.84672 Y 83955 INSTALACION DE PATINES Y MANTENIMIENTO DE ELEVADORES CORRESPONDIENTES AL MES DE AGOSTO 2021</t>
  </si>
  <si>
    <t>SERVICIOS E INSTALACIONES TECNICAS S A (SETEC)</t>
  </si>
  <si>
    <t>2708-1</t>
  </si>
  <si>
    <t>SALDO A FACT.52, PAGO FACT.55 Y 56 AVANCE 50% FACT.57</t>
  </si>
  <si>
    <t>2710-1</t>
  </si>
  <si>
    <t>PAGO A FACT.478 COMPRA DE FUNDAS PLASTICAS</t>
  </si>
  <si>
    <t>2712-1</t>
  </si>
  <si>
    <t>PAGO A FACT.224,225,226,230,229,205,232,231,227 Y 228 COMPRA DE ALIMENTOS Y UTILES DE COCINA</t>
  </si>
  <si>
    <t>2716-1</t>
  </si>
  <si>
    <t xml:space="preserve">R &amp; R  MANTENIMIENTO S A </t>
  </si>
  <si>
    <t>PAGO A FACT.287,284,289 Y 296 COMPRA DE ACCESORIOS Y SERVICIOS DE MANTENIMIENTO Y REPARACION</t>
  </si>
  <si>
    <t>2720-1</t>
  </si>
  <si>
    <t>PAGO A FACT.161,165 Y 168 SERVICIO DE FUMIGACION</t>
  </si>
  <si>
    <t>2727-1</t>
  </si>
  <si>
    <t>PAGO A FACT. CC20211010100579276 SERVICIO DE INTERNET Y CABLE OCTUBRE 2021.</t>
  </si>
  <si>
    <t>2736-1</t>
  </si>
  <si>
    <t>2732-1</t>
  </si>
  <si>
    <t>ROSMERY CRUCEY ENCARNACION</t>
  </si>
  <si>
    <t>PAGO A FACT. 01 Y 02 COMPRA DE EQUIPO MEDICO Y REPARACION DE MUEBLES</t>
  </si>
  <si>
    <t xml:space="preserve">CORPORACION ACUEDUCTO ALCANTARILLADO SANTO DOMINGO </t>
  </si>
  <si>
    <t>PAGO A FACT. 92218390 SERVICIO DE AGUA POTABLE</t>
  </si>
  <si>
    <t>13/10/2021</t>
  </si>
  <si>
    <t>RETENCION 10%</t>
  </si>
  <si>
    <t>RETENCION 5%</t>
  </si>
  <si>
    <t>ITBIS RETENIDO 30% Y RETENCION 10%</t>
  </si>
  <si>
    <t>RETENCON DEL ITBIS 30% Y RETENCION 5%.</t>
  </si>
  <si>
    <t>RETENCION DEL 30% Y RETENCION 5%</t>
  </si>
  <si>
    <t>RETENCION DEL 30% DE ITBIS Y RETENCION 5%</t>
  </si>
  <si>
    <t>14/10/2021</t>
  </si>
  <si>
    <t>2752-1</t>
  </si>
  <si>
    <t>PAGO A FACT. 30782,30835,30758,30619,31173 Y 31664 COMPRA DE REACTIVO E INSUMOS DE MANTENIMIENTO.</t>
  </si>
  <si>
    <t>RETENCION 30% Y RETENCION 5%</t>
  </si>
  <si>
    <t>18/10/2021</t>
  </si>
  <si>
    <t>15/10/2021</t>
  </si>
  <si>
    <t>19/10/2021</t>
  </si>
  <si>
    <t xml:space="preserve">MONFORTE </t>
  </si>
  <si>
    <t>20/10/2021</t>
  </si>
  <si>
    <t>21/10/2021</t>
  </si>
  <si>
    <t>2786-1</t>
  </si>
  <si>
    <t>PAGO A FACT. 1328,1332,1323,1315 Y 1302 COMPRA DE SANGRE DE CARNERO.</t>
  </si>
  <si>
    <t>2792-1</t>
  </si>
  <si>
    <t>MORAMI , SRL</t>
  </si>
  <si>
    <t>PAGO A FACT. 3200,3270,3089 Y 3199 COMPRA DE MEDICAMENTOS E INSUMOS MEDICOS</t>
  </si>
  <si>
    <t>2794-1</t>
  </si>
  <si>
    <t xml:space="preserve">FRAVAX, SRL </t>
  </si>
  <si>
    <t xml:space="preserve">PAGO A FACT. 008978,008986 Y 008932 COMPRA DE MEDICAMENTOS E INSUMOS </t>
  </si>
  <si>
    <t>2798-1</t>
  </si>
  <si>
    <t>GRUPO FARMACEUTICO CAR-M SRL (GRUFACARM)</t>
  </si>
  <si>
    <t>PAGO A FACT. 1378 Y 1397 COMPRA DE INSUMOS MEDICOS</t>
  </si>
  <si>
    <t>2782-1</t>
  </si>
  <si>
    <t xml:space="preserve">TONER DEPORT INTERNATIONAL SRL </t>
  </si>
  <si>
    <t xml:space="preserve">PAGO A FACT.103 SERVICIO DE IMPRESIONES CORRESPONDIENTE AL PERIODO DEL 26 DE AGOSTO AL 27 DE SEPTIEMBRE </t>
  </si>
  <si>
    <t xml:space="preserve">RETENCION DEL 5% </t>
  </si>
  <si>
    <t>RETENCION DEL 5% Y 30% ITBIS RETENIDO</t>
  </si>
  <si>
    <t>22/10/2021</t>
  </si>
  <si>
    <t>2803-1</t>
  </si>
  <si>
    <t>PAGO FACT. 153 SERVICIOS PROFESIONALES</t>
  </si>
  <si>
    <t>2809-1</t>
  </si>
  <si>
    <t>PAGO FACT.0044844 RECOLECCION DE RESIDUOS SOLIDOS</t>
  </si>
  <si>
    <t>2811-1</t>
  </si>
  <si>
    <t>PAGO A FACT.306,315,318 Y 331 COMPRA DE MEDICAMENTOS, UTILES MEDICOS E INSUMOS.</t>
  </si>
  <si>
    <t>2815-1</t>
  </si>
  <si>
    <t>PAGO A FACT. 05, 06 Y 09 COMPRA DE PAPEL PARA SONOGRAFIA.</t>
  </si>
  <si>
    <t>2821-1</t>
  </si>
  <si>
    <t>GRUPO EIKOVA GROUP, SRL (GEG)</t>
  </si>
  <si>
    <t>PAGO A FACT.21MHS02 COMPRA DE CARTUCHOS PARA IMPRESORA</t>
  </si>
  <si>
    <t>RETENCION DEL 10% Y 30% ITBIS RETENIDO</t>
  </si>
  <si>
    <t>RETENCION DEL 5%</t>
  </si>
  <si>
    <t>2746-1</t>
  </si>
  <si>
    <t>PAGO NOMINA CARACTER TEMPORAL OCTUBRE 2021</t>
  </si>
  <si>
    <t xml:space="preserve"> PAGO NOMINA  PRINCIPAL CORRESPONDIENTE  AL MES DE OCTUBRE 2021</t>
  </si>
  <si>
    <t>NOMINA POR TESORERIA CORRESPONDIENTE AL MES DE OCTUBRE 2021</t>
  </si>
  <si>
    <t>PAGO RETENCION IMPUESTO SOBRE SALARIO  CORRESPONDIENTE A  OCTUBRE 2021. (IR-3).</t>
  </si>
  <si>
    <t>2748-1</t>
  </si>
  <si>
    <t>2750-1</t>
  </si>
  <si>
    <t>2765-1</t>
  </si>
  <si>
    <t>PAGO NOMINA COMPENSACION MILITAR OCTUBRE 2021</t>
  </si>
  <si>
    <t>PAGO NOMINA CARACTER EVENTUAL OCTUBRE 2021</t>
  </si>
  <si>
    <t>PAGO RETENCION SEGURIDAD SOCIAL OCTUBRE 2021.</t>
  </si>
  <si>
    <t xml:space="preserve"> PAGO NOMINA  CARACTER TEMPORAL  CORRESPONDIENTE  AL MES DE OCTUBRE 2021</t>
  </si>
  <si>
    <t>PAGO NOMINA POR TESORERIA CORRESPONDIENTE AL MES DE OCTUBRE 2021</t>
  </si>
  <si>
    <t>25/10/2021</t>
  </si>
  <si>
    <t>2827-1</t>
  </si>
  <si>
    <t>PAGO A  FACT. 29,30,31,32,33,34,35,36 Y 37 COMPRA DE ALIMENTOS</t>
  </si>
  <si>
    <t>2831-1</t>
  </si>
  <si>
    <t>JSMED TECNOLOGIES , SRL</t>
  </si>
  <si>
    <t>PAGO A FACT. 10 COMPRA DE INSUMOS MEDICOS</t>
  </si>
  <si>
    <t>2835-1</t>
  </si>
  <si>
    <t>SURBA SOLUTIONS, SRL</t>
  </si>
  <si>
    <t>PAGO A  FACT. 17 COMPRA DE INSUMOS MEDICOS</t>
  </si>
  <si>
    <t>2839-1</t>
  </si>
  <si>
    <t>SERVICIOS ELECTROMEDICOS E INSTITUCIONALES, SA</t>
  </si>
  <si>
    <t>PAGO A FACT.  20213204, COMPRA DE INSUMOS MEDICOS</t>
  </si>
  <si>
    <t>2844-1</t>
  </si>
  <si>
    <t>FARMACEUTICA DALMASI (FARMADAL ), SRL</t>
  </si>
  <si>
    <t>PAGO A FACT. 4516,4890, COMPRA DE INSUMOS MEDICOS</t>
  </si>
  <si>
    <t>2850-1</t>
  </si>
  <si>
    <t>PAGO A FACT. 39991, COMPRA DE UTILES DE OFICINA E INFORMATICA.</t>
  </si>
  <si>
    <t>26/10/2021</t>
  </si>
  <si>
    <t>2856-1</t>
  </si>
  <si>
    <t>FAROSE SOLUTIONS GROUP, SRL</t>
  </si>
  <si>
    <t xml:space="preserve">PAGO A FACT.113 SERVICIO DE MANTENIMIENTO A PUERTAS Y CERRADURAS MAGNETICAS </t>
  </si>
  <si>
    <t>2866-1</t>
  </si>
  <si>
    <t xml:space="preserve">RAMISOL, SRL </t>
  </si>
  <si>
    <t>PAGO A FACT.1-304 COMPRA DE INSUMOS MEDICOS</t>
  </si>
  <si>
    <t>2870-1</t>
  </si>
  <si>
    <t>TENDAMED, SRL</t>
  </si>
  <si>
    <t>PAGO A FACT.263,240 Y 258 COMPRA DE INSUMOS MEDICOS</t>
  </si>
  <si>
    <t>2878-1</t>
  </si>
  <si>
    <t xml:space="preserve">PAGO A FACT. 463240 Y 462927, COMPRA DE MEDICAMENTOS </t>
  </si>
  <si>
    <t>2884-1</t>
  </si>
  <si>
    <t>PAGO A FACT. 8525 Y 8564 COMPRA DE MEDICAMENTOS</t>
  </si>
  <si>
    <t>2888-1</t>
  </si>
  <si>
    <t>JOCACE, SA</t>
  </si>
  <si>
    <t>PAGO A FACT.72520 COMPRA DE MEDICAMENTOS</t>
  </si>
  <si>
    <t>RETENCION 5% Y 30% ITBIS RETENIDO</t>
  </si>
  <si>
    <t>EL LIBRA. 2646-1 DE GADECA FUE ANULADO EN ESTA FECHA.</t>
  </si>
  <si>
    <t xml:space="preserve">RETENCION 5% </t>
  </si>
  <si>
    <t xml:space="preserve">ARS SIGMAG </t>
  </si>
  <si>
    <t>RETENCION 10 %</t>
  </si>
  <si>
    <t>27/10/2021</t>
  </si>
  <si>
    <t>2892-1</t>
  </si>
  <si>
    <t>PAGO A FACT.6864,COMPRA DE SAL YODADA</t>
  </si>
  <si>
    <t>2894-1</t>
  </si>
  <si>
    <t>PAGO A FACT.1840, Y 1842, COMPRA DE PAPEL Y SERVICIO DE MANTENIMIENTO</t>
  </si>
  <si>
    <t>2898-1</t>
  </si>
  <si>
    <t>SALDO A FACT. 57, PAGO A FACT. 58,59,60,62,63,64 Y 65 MATERIALES DE MANTENIMIENTO.</t>
  </si>
  <si>
    <t>2903-1</t>
  </si>
  <si>
    <t xml:space="preserve">PAGO A FACT. 190,206 Y 224 COMPRA DE INSUMOS Y PRENDA DE VESTIR </t>
  </si>
  <si>
    <t>2911-1</t>
  </si>
  <si>
    <t>PAGO A FACT.001970,001993,001962,001989 Y 001977 COMPRA DE REACTIVOS</t>
  </si>
  <si>
    <t>2917-1</t>
  </si>
  <si>
    <t xml:space="preserve">PAGO A FACT. 8726,59143,68738,68733,96425,7608,6409,6413,8771,9222,8760,8762,8767,68751,8757,6420 Y 6423 BOTELLONES DE AGUA </t>
  </si>
  <si>
    <t>2923-1</t>
  </si>
  <si>
    <t>PAGO A FACT. 057856,057857 Y 057858 COMPRA DE MATERIALES DE LIMPIEZA</t>
  </si>
  <si>
    <t>2926-1</t>
  </si>
  <si>
    <t>PAGO A FACT.3-476 COMPRA DE INSUMOS MEDICOS</t>
  </si>
  <si>
    <t>PAGO 5% RETENCION</t>
  </si>
  <si>
    <t xml:space="preserve">ARS SENASA SUBSIDIADA </t>
  </si>
  <si>
    <t>28/10/2021</t>
  </si>
  <si>
    <t>29/10/2021</t>
  </si>
  <si>
    <t>2937-1</t>
  </si>
  <si>
    <t>JOEL ANTONIO MENDOZA DE JESUS</t>
  </si>
  <si>
    <t xml:space="preserve">PAGO A FACT.15,18,19, Y 20. COMPRA DE UTILES VARIOS </t>
  </si>
  <si>
    <t>2939-1</t>
  </si>
  <si>
    <t>PAGO A FACT. 90289158 COMPRA DE EQUIPO MEDICO</t>
  </si>
  <si>
    <t>2945-1</t>
  </si>
  <si>
    <t>COMPAÑIA DOMINICANA DE TELEFONOS C POR A (CLARO)</t>
  </si>
  <si>
    <t>PAGO A FACT. 103 Y 101 SERVICIO DE TELEFONO MES DE OCTUBRE 2021</t>
  </si>
  <si>
    <t>PAGO CAFETERIA</t>
  </si>
  <si>
    <t>31/10/2021</t>
  </si>
  <si>
    <t>DEPOSITO NO IDENTIFICADO AL 31 DE OCTUBRE DEL 2021</t>
  </si>
  <si>
    <t>2965-1</t>
  </si>
  <si>
    <t xml:space="preserve">PAGO A FACT. 560 COMPRA DE UTILES VARIOS </t>
  </si>
  <si>
    <t>2953-1</t>
  </si>
  <si>
    <t>IMPUESTO</t>
  </si>
  <si>
    <t>PAGO RETENCION 30% ITBIS CORRESPONDIENTE A OCTUBRE 2021</t>
  </si>
  <si>
    <t>2957-1</t>
  </si>
  <si>
    <t>PAGO IR-17 MES OCTUBRE 2021</t>
  </si>
  <si>
    <t>2961-1</t>
  </si>
  <si>
    <t xml:space="preserve">PAGO FACT.27321,27450 Y 27682, SERVICIO DE ESTERILIZACION Y DISPOSICION </t>
  </si>
  <si>
    <t>POPULARIDADES  COMERCIALES -POPCOM, SRL</t>
  </si>
  <si>
    <t>2970-1</t>
  </si>
  <si>
    <t>PAGO A FACT.00107 COMPRA DE UTILES DE ESCRITORIO Y EQUIPO DE TECNOLOGIA.</t>
  </si>
  <si>
    <t>RETNCION 5%</t>
  </si>
  <si>
    <t>2982-1</t>
  </si>
  <si>
    <t>PAGO A FACT. 10463,10478,10438,10524,10488 Y 10453 COMPRA DE MEDICAMENTOS Y UTILES MEDICOS</t>
  </si>
  <si>
    <t>2987-1</t>
  </si>
  <si>
    <t xml:space="preserve">PAGO A FACT. 3496 COMPRA DE MEDICAMENTOS </t>
  </si>
  <si>
    <t>2991-1</t>
  </si>
  <si>
    <t>PAGO A FACT. 92402166 SERVICIO DE AGUA MES DE NOVIEMBRE 2021</t>
  </si>
  <si>
    <t>2995-1</t>
  </si>
  <si>
    <t xml:space="preserve">SERVICIOS E INSTALACIONES TECNICAS S A </t>
  </si>
  <si>
    <t>PAGO A FACT. 200084676 Y 200085722, MANTENIMIENTO Y COMPRA DE REPUESTOS</t>
  </si>
  <si>
    <t>RETENCION 5%  Y RETENCION 30%</t>
  </si>
  <si>
    <t>EL LIBRA. 2945-1 DE COMPAÑIA DOMINICANA DE TELEFONOS C POR A (CLARO) FUE ANULADO EN ESTA FECHA.</t>
  </si>
  <si>
    <t>2978-1</t>
  </si>
  <si>
    <t>PAGO A FACT. 103 Y 101 SERVICIO DE TELEFONO MES DE OCTUBRE 2021 MENOS SALDO A FAVOR $ 9,813.89</t>
  </si>
  <si>
    <t xml:space="preserve">CONSULTA </t>
  </si>
  <si>
    <t>HOSPITALIZACION</t>
  </si>
  <si>
    <t xml:space="preserve">IMAGENES </t>
  </si>
  <si>
    <t>LABORATORIO.</t>
  </si>
  <si>
    <t>EMERGENCIAS</t>
  </si>
  <si>
    <t>3002-1</t>
  </si>
  <si>
    <t>DATASET, E.L.R.L</t>
  </si>
  <si>
    <t xml:space="preserve">PAGO A FACT. 119, COMPRA DE EQUIPO Y SERVICO DE MANTENIM IENTO </t>
  </si>
  <si>
    <t>ARS AMOR Y PAZ, S.A.</t>
  </si>
  <si>
    <t>2928-1</t>
  </si>
  <si>
    <t>PAGO DE NOMINA DIAS PENDIENTES GILENA OGANDO SEPTIEMBRE 2021</t>
  </si>
  <si>
    <t>3004-1</t>
  </si>
  <si>
    <t>SMH GRUPO TECNICO, SRL</t>
  </si>
  <si>
    <t>PAGO A FACT.18 Y 19, SERVICIO DE MANTENIMIENTO</t>
  </si>
  <si>
    <t>3008-1</t>
  </si>
  <si>
    <t>JSMED TECNOLOGIES, SRL</t>
  </si>
  <si>
    <t>PAGO A FACT. 10, COMPRA DE INSUMOS E INSTRUMENTAL MEDICO</t>
  </si>
  <si>
    <t>3024-1</t>
  </si>
  <si>
    <t>PAGO A FACT. 23432, COMPRA DE MATERIAL DE LIMPIEZA</t>
  </si>
  <si>
    <t>3029-1</t>
  </si>
  <si>
    <t>PAGO A FACT. 4052,4098 Y 4122 COMPRA DE INSUMOS MEDICOS Y PRODUCTOS DE PAPEL</t>
  </si>
  <si>
    <t>3032-1</t>
  </si>
  <si>
    <t>PAGO A FACT. 155 SERVICIOS TECNICOS PROFESIONALES</t>
  </si>
  <si>
    <t xml:space="preserve">RETENCION 5% Y 30% </t>
  </si>
  <si>
    <t>RETENCION 5%.</t>
  </si>
  <si>
    <t>3056-1</t>
  </si>
  <si>
    <t>PAGO A FACT. CC202111101005821640, SERVICIO DE INTERNET Y TV POR CABLE</t>
  </si>
  <si>
    <t>3069-1</t>
  </si>
  <si>
    <t>AIR LIQUIDE DOMINICANA,SAS.</t>
  </si>
  <si>
    <t>PAGO A FACT. 31687,31796,34191,34006,35159,31246,28919,32352,32144,33095 Y 33840, COMPRA DE OXIGENO.</t>
  </si>
  <si>
    <t>3072-1</t>
  </si>
  <si>
    <t>3076-1</t>
  </si>
  <si>
    <t>PAGO A FACT. 109,110,111 Y 112, COMPRA DE ARTES GRAFICAS Y MOBILIARIOS Y EQUIPOS.</t>
  </si>
  <si>
    <t>AYUNTAMIENTO SANTO DOMINGO NORTE</t>
  </si>
  <si>
    <t>PAGO A FACT. 0047509, RECOLECCION DE RESIDUOS SOLIDOS.</t>
  </si>
  <si>
    <t>15/11/2021</t>
  </si>
  <si>
    <t>3086-1</t>
  </si>
  <si>
    <t>3090-1</t>
  </si>
  <si>
    <t>3100-1</t>
  </si>
  <si>
    <t>CIENTEC,SRL</t>
  </si>
  <si>
    <t>PAGO A FACT. 128619,129603,129669,129194,130440 Y 130227, COMPRA DE REACTIVOS E INSUMOS MEDICOS.</t>
  </si>
  <si>
    <t>NETWORKING, SRL</t>
  </si>
  <si>
    <t>PAGO A FACT. 4289, DESARROLLO COMPLEMENTO DE LAS ALTAS MEDICAS MODULO DE EMERGENCIA.</t>
  </si>
  <si>
    <t>PAGO A FACT. 21569,22409,22088,22675,22911,22271,22149 Y 22910, COMPRA DE INSUMOS Y REACTIVOS .</t>
  </si>
  <si>
    <t>16/11/2021</t>
  </si>
  <si>
    <t>17/11/2021</t>
  </si>
  <si>
    <t>HUMANOS SEGUROS</t>
  </si>
  <si>
    <t>2947-1</t>
  </si>
  <si>
    <t>2949-1</t>
  </si>
  <si>
    <t>PAGO NOMINA VAC.NO DISFRUTADA EX COLABORADORES OCT. 2021</t>
  </si>
  <si>
    <t>PAGO NOMINA INDEMNIZACION EX COLABORADORES OCT.2021</t>
  </si>
  <si>
    <t>3113-1</t>
  </si>
  <si>
    <t>PAGO A FACT. 29,30,31,32,33,34,35,36 Y 37, COMPRA DE ALIMENTOS</t>
  </si>
  <si>
    <t>3120-1</t>
  </si>
  <si>
    <t>PAGO A FACT. 233,235,237,238,239,240,241,242,243,245,246,247 Y 248, COMPRA DE ALIMENTOS ELECTRODOMESTICOS Y MATERIAL DESECHABLE</t>
  </si>
  <si>
    <t>3124-1</t>
  </si>
  <si>
    <t xml:space="preserve">PAGO A FACT.15166 Y 15168, COMPRA DE INSUMOS </t>
  </si>
  <si>
    <t>18/11/2021</t>
  </si>
  <si>
    <t>3130-1</t>
  </si>
  <si>
    <t>PAGO A FACT. 1333,1343,1352,1358 Y 1367, COMPRA DE SANGRE DE CARNERO</t>
  </si>
  <si>
    <t xml:space="preserve">BIO WIN, SRL </t>
  </si>
  <si>
    <t>19/11/2021</t>
  </si>
  <si>
    <t>22/11/2021</t>
  </si>
  <si>
    <t>3141-1</t>
  </si>
  <si>
    <t>PAGO A FACT. 30865,31043,31110,31287,30909,31361,31445,31521, Y 31174, COMPRA DE REACTIVO, INSUMOS Y MATERIAL DE LIMPIEZA.</t>
  </si>
  <si>
    <t>23/11/2021</t>
  </si>
  <si>
    <t>24/11/2021</t>
  </si>
  <si>
    <t xml:space="preserve">ARS  MAFRE SALUD </t>
  </si>
  <si>
    <t xml:space="preserve">MAFRE SALUD ARS </t>
  </si>
  <si>
    <t>26/11/2021</t>
  </si>
  <si>
    <t>PAGO NOMINA CARACTER TEMPORAL NOVIEMBRE 2021</t>
  </si>
  <si>
    <t>3104-1</t>
  </si>
  <si>
    <t xml:space="preserve"> PAGO NOMINA  PRINCIPAL CORRESPONDIENTE  AL MES DE NOVIEMBRE 2021</t>
  </si>
  <si>
    <t>NOMINA POR TESORERIA CORRESPONDIENTE AL MES DE NOVIEMBRE 2021</t>
  </si>
  <si>
    <t>PAGO RETENCION IMPUESTO SOBRE SALARIO  CORRESPONDIENTE A   NOVIEMBRE 2021. (IR-3).</t>
  </si>
  <si>
    <t>3106-1</t>
  </si>
  <si>
    <t>3108-1</t>
  </si>
  <si>
    <t>PAGO NOMINA COMP. MILITAR NOVIEMBRE 2021</t>
  </si>
  <si>
    <t>3110-1</t>
  </si>
  <si>
    <t>PAGO NOMINA CARACTER EVENTUAL NOVIEMBRE 2021</t>
  </si>
  <si>
    <t>25/11/2021</t>
  </si>
  <si>
    <t>29/11/2021</t>
  </si>
  <si>
    <t>3175-1</t>
  </si>
  <si>
    <t>PAGO A FACTURA 102 Y 104, SERVICIO TELEFONICO</t>
  </si>
  <si>
    <t>``</t>
  </si>
  <si>
    <t>AL 31/12/2021</t>
  </si>
  <si>
    <t>REPOSICION CAJA CHICA AL 30/11/2021</t>
  </si>
  <si>
    <t>MIGUELINA RAMIREZ SANCHEZ</t>
  </si>
  <si>
    <t>13/01/2022</t>
  </si>
  <si>
    <t>ELSA GUERRERO MORALES DE TRINIDAD</t>
  </si>
  <si>
    <t>LADY LAURA MATEO VALERIO</t>
  </si>
  <si>
    <t>GRUPO CAROL</t>
  </si>
  <si>
    <t>13/1/2022</t>
  </si>
  <si>
    <t>DEPOSITO SOBRANTE DE CAJA CHICA</t>
  </si>
  <si>
    <t>APERTURA DE CAJA 2022</t>
  </si>
  <si>
    <t>TRANSFERENCIA ENTRE CUENTAS</t>
  </si>
  <si>
    <t>TRANSFERENCIA A CUETA SUBVENCION</t>
  </si>
  <si>
    <t>DEVOLUCION A PACIENTE POR CONCEPTO DE ABONO HABITACION PRIVADA, SEGUN RECIBO N0. 661053.</t>
  </si>
  <si>
    <t>DEVOLUCION A PACIENTE POR CONCEPTO DE ABONO HABITACION PRIVADA, SEGUN RECIBO N0. 662055.</t>
  </si>
  <si>
    <t>DEVOLUCION A PACIENTE POR CONCEPTO DE ABONO HABITACION PRIVADA, SEGUN RECIBO N0. 654379.</t>
  </si>
  <si>
    <t>PAGO COMPRA  MEDICAMENTO PARA PACIENTE.</t>
  </si>
  <si>
    <t>14/01/2022</t>
  </si>
  <si>
    <t>17/01/2022</t>
  </si>
  <si>
    <t>18/01/2022</t>
  </si>
  <si>
    <t xml:space="preserve">PRIMERA ARS DE HUMANO </t>
  </si>
  <si>
    <t xml:space="preserve">HUMANO SEGUROS </t>
  </si>
  <si>
    <t>26/01/2022</t>
  </si>
  <si>
    <t>DELTA COMERCIAL, S.A</t>
  </si>
  <si>
    <t xml:space="preserve">SERVICIO DE MANTENIMIENTO GENERAL A CAMIONETA HILUX PLACA 1350762 VALOR BRUTO $13,311.79 MENOS 5% REF. $ 665.59 MAS ITBIS $2,396.12 MENOS ITBIS RETENIDO 30% $ 181.44 SUJETO A LIQUIDACION DE FACTURA </t>
  </si>
  <si>
    <t xml:space="preserve">NULO </t>
  </si>
  <si>
    <t>27/01/2022</t>
  </si>
  <si>
    <t>TRANSFERENCIA DE LA CUENTA OPERATIVA A ESTA CUENTA.</t>
  </si>
  <si>
    <t>20/01/2022</t>
  </si>
  <si>
    <t>19/01/2022</t>
  </si>
  <si>
    <t>25/01/2022</t>
  </si>
  <si>
    <t xml:space="preserve">AS FUTURO </t>
  </si>
  <si>
    <t>10-1</t>
  </si>
  <si>
    <t xml:space="preserve">COMPAÑIA DOMINICANA DE TELEFONOS C POR S A </t>
  </si>
  <si>
    <t>PAGO DE TELEFONO MES DE DICIEMBRE 2021</t>
  </si>
  <si>
    <t>15-1</t>
  </si>
  <si>
    <t xml:space="preserve">AYUNTAMIENTO DE SANTO DOMOINGO </t>
  </si>
  <si>
    <t>PAGO DE RECOLECCION DE RESIDUOS MES DE DICIEMBRE 2021</t>
  </si>
  <si>
    <t>19-1</t>
  </si>
  <si>
    <t>ILUTEC, SRL</t>
  </si>
  <si>
    <t>PAGO A FACT. 241121-1 SERVICIO DE MANTENIMIENTO Y LICENCIA SINERGIA SOFTWARE CORRESPONDIENTE AL TRIMESTRE OCTUBRE DICIEMBRE 2021</t>
  </si>
  <si>
    <t>23-1</t>
  </si>
  <si>
    <t>MORAMI, SRL</t>
  </si>
  <si>
    <t xml:space="preserve">PAGO A FACT. 1-3277,1-3324,1-3349,1-3396,1-3401 Y ABONO 50% FACT. 1-3397 COMPRA DE MEDICAMENTOS E INSUMOS </t>
  </si>
  <si>
    <t>27-1</t>
  </si>
  <si>
    <t xml:space="preserve">MEDICMANTOS COMERCIALES ÑUÑEZ MORALES, SRL </t>
  </si>
  <si>
    <t xml:space="preserve">PAGO A FACT.10676,10548,10603 Y 10580 COMPRA DE UTILES MEDICOS QUIRURGICOS </t>
  </si>
  <si>
    <t>32-1</t>
  </si>
  <si>
    <t xml:space="preserve">INVERSIONES ENVECO, SRL </t>
  </si>
  <si>
    <t>PAGO A FACT. 6, COMPRA DE INSUMOS MEDICOS</t>
  </si>
  <si>
    <t>42-1</t>
  </si>
  <si>
    <t>PAGO A FACT.157 Y 159 SERVICIO DE LEGALIZACION DE CONTRATOS CORRESPONDIENTE AL MES DE NOVIEMBRE Y DICIEMBRE 2021</t>
  </si>
  <si>
    <t>46-1</t>
  </si>
  <si>
    <t xml:space="preserve">ALIANZA INNOVADORA DE SERVICIOS AMBIENTALES, SRL </t>
  </si>
  <si>
    <t>SERVICIO DE ESTERILIZACION MES DE OCTUBRE, NOVIEMBRE Y DICIEMBRE 2021</t>
  </si>
  <si>
    <t>53-1</t>
  </si>
  <si>
    <t xml:space="preserve">GLOBAL MULTI-PHARMA DOMINICANA THM, SRL </t>
  </si>
  <si>
    <t xml:space="preserve">PAGO A FATC.  341,346,350,370 Y 372 COMPRA DE MEDICAMENTOS E INSUMOS MEDICOS </t>
  </si>
  <si>
    <t>57-1</t>
  </si>
  <si>
    <t>COPORACION ACUEDUCTO ALCANTARILLADO SANTO DOMINGO (CASSD )</t>
  </si>
  <si>
    <t>PAGO A FACT.92798626 Y 92588731 SERVICIO DE AGUA MES DE DIC. Y ENERO.</t>
  </si>
  <si>
    <t>60-1</t>
  </si>
  <si>
    <t xml:space="preserve">ALTICE DOMINICANA, SA </t>
  </si>
  <si>
    <t>PAGO A FACT. 1355 Y 1708 SERVICIO DE INTERNET MES DE DIC Y ENERO</t>
  </si>
  <si>
    <t>64-1</t>
  </si>
  <si>
    <t xml:space="preserve">ROPHARMA, SRL </t>
  </si>
  <si>
    <t xml:space="preserve">PAGO A FACT. 92,143,119 Y 142 COMPRA DE INSUMOS Y MEDICAMENTOS </t>
  </si>
  <si>
    <t>72-1</t>
  </si>
  <si>
    <t>MULTISERVICIOS F&amp;S SRL</t>
  </si>
  <si>
    <t>PAGO A FACT. 1856,1846,1839 Y 1844 COMPRA DE PAPEL E INSUMOS DE OFICINA Y SERVICIO DE MATENIMIENTO</t>
  </si>
  <si>
    <t>80-1</t>
  </si>
  <si>
    <t xml:space="preserve">DRUCKER, SRL </t>
  </si>
  <si>
    <t>PAGO A FACT. 0113 Y 0114 COMPRA DE CABINAS E INSTALACION Y MAMPARAS</t>
  </si>
  <si>
    <t>81-1</t>
  </si>
  <si>
    <t xml:space="preserve">SUED &amp; FARGESA, SRL </t>
  </si>
  <si>
    <t xml:space="preserve">PAGO A FACT. 9100353264 COMPRA DE MEDICAMENTOS </t>
  </si>
  <si>
    <t>85-1</t>
  </si>
  <si>
    <t xml:space="preserve">MAIKOL JOSE DE LA ROSA RAMIREZ </t>
  </si>
  <si>
    <t xml:space="preserve">PAGO A FACT. 104 Y 106 COMPRA DE ALIMENTOS </t>
  </si>
  <si>
    <t>93-1</t>
  </si>
  <si>
    <t>INGENIERIA BIOMEDICA AL SECTOR SALUD INGBSES, SRL</t>
  </si>
  <si>
    <t>PAGO A FACT. 21 COMPRA DE EQUIPO MEDICO</t>
  </si>
  <si>
    <t>97-1</t>
  </si>
  <si>
    <t>A&amp;S IMPORTADORA MEDICA, SRL</t>
  </si>
  <si>
    <t xml:space="preserve">PAGO A FACT. 921,922 Y 942 COMPRA DE UTILES MEDICOS </t>
  </si>
  <si>
    <t>101-1</t>
  </si>
  <si>
    <t>RAMISOL, SRL</t>
  </si>
  <si>
    <t xml:space="preserve">PAGO A FACT. 1-449 Y 1-502 COMPRA DE MEDICAMENTOS E INSUMOS </t>
  </si>
  <si>
    <t>107-1</t>
  </si>
  <si>
    <t xml:space="preserve">SUPLIMED, SRL </t>
  </si>
  <si>
    <t xml:space="preserve">PAGO A FACT. 2930,2890,2950 Y 2947 COMPRA DE INSUMOS MEDICOS </t>
  </si>
  <si>
    <t xml:space="preserve">GAROSS PHARMA , SRL </t>
  </si>
  <si>
    <t xml:space="preserve">PAGO A FACT. 2036,2045,2020,2026,2008 Y 2052 COMPRA DE REACTIVOS E INSUMOS MEDICOS </t>
  </si>
  <si>
    <t>111-1</t>
  </si>
  <si>
    <t>117-1</t>
  </si>
  <si>
    <t xml:space="preserve">OSCAR A RENTA NEGRON S A </t>
  </si>
  <si>
    <t>PAGO A FACT. 042725,039938,037637 Y 044227 COMPRA DE MEDICAMENTOS</t>
  </si>
  <si>
    <t>89-1</t>
  </si>
  <si>
    <t xml:space="preserve">SERVIVICIOS E INSTALACIONES TECNICAS S A </t>
  </si>
  <si>
    <t>PAGO A FACT. 85846 SERVICIO DE MANTENIMIENTO DE ELEVADORES MES DE OCTUBRE 2021</t>
  </si>
  <si>
    <t>28/01/2022</t>
  </si>
  <si>
    <t>129-1</t>
  </si>
  <si>
    <t xml:space="preserve">AGUA PLANETA AZUL C PO A </t>
  </si>
  <si>
    <t xml:space="preserve">PAGO A FACT. 7661,7662,7614,7611,7638,7649,7644,7656,7642,7633,7622,7628 Y 7618 COMPRA DE BOTELLONES DE AGUA </t>
  </si>
  <si>
    <t>131-1</t>
  </si>
  <si>
    <t>COMPRA-MED, SRL</t>
  </si>
  <si>
    <t>PAGO A FACT. 2026,1980,2035 Y  2036 COMPRA DE INSUMOS MEDICOS .</t>
  </si>
  <si>
    <t>134-1</t>
  </si>
  <si>
    <t>PAGO A FACT. 38,39,40,41,42,43,44 Y 45 COMPRA DE ALIMENTOS</t>
  </si>
  <si>
    <t>136-1</t>
  </si>
  <si>
    <t>PAGO A FACT.18,23M24,26 Y 29 COMPRA DE PRODUCTOS VARIOS Y SERVICIOS DE MANTENIMIENTO DE EQUIPO</t>
  </si>
  <si>
    <t>142-1</t>
  </si>
  <si>
    <t>FLORISTERIA CALIZ FLOR, EIRL</t>
  </si>
  <si>
    <t>PAGO A FACT. 9886,9857 Y 9856 COMPRA DE CORONAS FUNEBRES</t>
  </si>
  <si>
    <t>146-1</t>
  </si>
  <si>
    <t>PAGO A FACT. 249,250,253,254,255,256,257,258,259,260, Y 261 COMPRA DE ALIMENTOS, UTILES DE COCINA Y PRODUCTOS DE PAPEL</t>
  </si>
  <si>
    <t>150-1</t>
  </si>
  <si>
    <t>PROGRAMA DE MEDICAMENTOS ESENCIALES (PROMESECAL)</t>
  </si>
  <si>
    <t>COMPRA DE MEDICAMENTOS Y UTILES QUIRURGICOS</t>
  </si>
  <si>
    <t>167-1</t>
  </si>
  <si>
    <t xml:space="preserve">PAGO A FACT. 9183,9111,9033 6Y 9082 COMPRA DE MEDICAMENTOS </t>
  </si>
  <si>
    <t>169-1</t>
  </si>
  <si>
    <t xml:space="preserve">QUEMOREL MULTISERVICES, SRL </t>
  </si>
  <si>
    <t>PAGO A FACT. 01,02, Y 03 COMPRA DE PAPEL, ACCESORIOS DE METAL E INSTRUMENTOS MEDICOS</t>
  </si>
  <si>
    <t>171-1</t>
  </si>
  <si>
    <t>PAGO A FACT. 07,10,11,12 Y 13 COMPRA DE INSUMOS MEDICOS</t>
  </si>
  <si>
    <t>173-1</t>
  </si>
  <si>
    <t xml:space="preserve">PAGO A FACT. 280,313,322 Y 324 COMPRA DE INSUMOS MEDICOS </t>
  </si>
  <si>
    <t>31/01/2022</t>
  </si>
  <si>
    <t>200-1</t>
  </si>
  <si>
    <t>PAGO A FACT. 1208,170,173 Y 171 SERVICIO DE FUMIGACION Y FABRICACION DE DIVISIONES</t>
  </si>
  <si>
    <t>175-1</t>
  </si>
  <si>
    <t>PAGO A FACT. 90298580 COMPRA DE EQUIPO MEDICO</t>
  </si>
  <si>
    <t>177-1</t>
  </si>
  <si>
    <t xml:space="preserve">PAGO A FACT. 4078,3964 Y 4441 COMPRA DE MEDICAMENTOS </t>
  </si>
  <si>
    <t>181-1</t>
  </si>
  <si>
    <t>ICHVAC, SRL</t>
  </si>
  <si>
    <t>PAGO A FACT. 16062020 SERVICIO DE MANTENIMIENTO DE LOS CHILER</t>
  </si>
  <si>
    <t>185-1</t>
  </si>
  <si>
    <t>PAGO A FACT. 006869 COMPRA DE SAL YODADA</t>
  </si>
  <si>
    <t>192-1</t>
  </si>
  <si>
    <t>TROPIGAS DOMINICANA SRL</t>
  </si>
  <si>
    <t xml:space="preserve">PAGO A FACT. 1003828350,1003844424,1003938954,1003904424,1003904991 Y 1003885638 COMPRA  DE GAS </t>
  </si>
  <si>
    <t>103-1</t>
  </si>
  <si>
    <t xml:space="preserve">LIBRAMIENTO </t>
  </si>
  <si>
    <t>105-1</t>
  </si>
  <si>
    <t>PAGO NOMINA COMPENSACION MILITAR  ENERO 2022</t>
  </si>
  <si>
    <t>113-1</t>
  </si>
  <si>
    <t>PAGO RETENCION SEGURIDAD SOCIAL ENERO 2022</t>
  </si>
  <si>
    <t>NOMINA POR TESORERIA CORRESPONDIENTE AL MES DE ENERO  2022</t>
  </si>
  <si>
    <t xml:space="preserve"> PAGO NOMINA  PRINCIPAL CORRESPONDIENTE  AL MES DE ENERO  2022</t>
  </si>
  <si>
    <t>PAGO RETENCION IMPUESTO SOBRE SALARIO  CORRESPONDIENTE A ENERO 2022. (IR-3).</t>
  </si>
  <si>
    <t>PAGO NOMINA CARACTER TEMPORAL ENERO 2022</t>
  </si>
  <si>
    <t>155-1</t>
  </si>
  <si>
    <t>PAGO NOMINA CARACTER EVENTUAL ENERO 2022</t>
  </si>
  <si>
    <t>FRAVAX, SRL</t>
  </si>
  <si>
    <t>ARS SENASA SUBIDADO</t>
  </si>
  <si>
    <t xml:space="preserve">ARS RESERVAS </t>
  </si>
  <si>
    <t>PAGO RENTA DE CAFETERIA</t>
  </si>
  <si>
    <t xml:space="preserve">DEPOSITOS NO IDENTIFICADOS AL 31 DE DICIEMBRE </t>
  </si>
  <si>
    <t>203-1</t>
  </si>
  <si>
    <t xml:space="preserve">PAGO A FACT. 68,69,70,72 Y 75 COMPRA DE MATERIALES DE MANTENIMIENTO </t>
  </si>
  <si>
    <t>224-1</t>
  </si>
  <si>
    <t>PAGO A FACT. 03, Y 04 COMPRA DE MATERIALES DE MANTENIMIENTO</t>
  </si>
  <si>
    <t>231-1</t>
  </si>
  <si>
    <t xml:space="preserve">PAGO A FACT. 293 Y 297 COMPRA DE INSUMOS MEDICOS Y SERVICIO DE MANTENIMIENTO </t>
  </si>
  <si>
    <t>233-1</t>
  </si>
  <si>
    <t xml:space="preserve">R &amp; R MANTENIMIENTO S A </t>
  </si>
  <si>
    <t>CIENCIA TECDNOLOGIA Y CONSULTAS CIENTEC, SRL</t>
  </si>
  <si>
    <t>PAGO A FACT. 130784,131432 Y 131431 COMPRA DE REACTIVOS</t>
  </si>
  <si>
    <t>PAGO A FACT. 23389,23676,23677,23679,23702,23764,23927 Y 23107 COMPRA DE INSUMOS</t>
  </si>
  <si>
    <t>238-1</t>
  </si>
  <si>
    <t>226-1</t>
  </si>
  <si>
    <t xml:space="preserve">FARACH S A </t>
  </si>
  <si>
    <t>PAGO A FACT. 646475, 643903,643887 Y 656547 COMPRA DE MEDICAMENTOS</t>
  </si>
  <si>
    <t xml:space="preserve">ARS ASEMAP </t>
  </si>
  <si>
    <t>DEPOSITO NO IDENTIFICADO AL 31/ DE ENERO 2022</t>
  </si>
  <si>
    <t>CARGOS BANCARIOS</t>
  </si>
  <si>
    <t>COMISION MANEJO DE CUENTA</t>
  </si>
  <si>
    <t>CARGO IMPUESTO 0.15%</t>
  </si>
  <si>
    <t>CHEQUE CERTIFICADO</t>
  </si>
  <si>
    <t>CARGO POR IMPRESIÓN DE ESTADOS</t>
  </si>
  <si>
    <t>CORGOS POR IMPUESTO 0.15%</t>
  </si>
  <si>
    <t>CORGOS POR SERVICIO DE MANEJO DE CUENTA</t>
  </si>
  <si>
    <t>256-1</t>
  </si>
  <si>
    <t>SEGUROS RESERVAS, SA</t>
  </si>
  <si>
    <t>PAGO A FACT. 2451274 RENOVACION DE POLIZA DE SEGURO VAHICULO INSTITUCIONAL CAMIONETA NISSAN Y TOYOTA HILUX</t>
  </si>
  <si>
    <t>263-1</t>
  </si>
  <si>
    <t>COMPAÑIA DOMINICANA DE TELEFONO C POR A (CLARO)</t>
  </si>
  <si>
    <t xml:space="preserve">PAGO A FACT. 104 Y 106 SERVICIO DE TELEFONO </t>
  </si>
  <si>
    <t>259-1</t>
  </si>
  <si>
    <t>MR NETWORKING, SRL</t>
  </si>
  <si>
    <t>PAGO A FACT. 4429 SERVICIO DE IMPLEMENTACION CORE MEDICO CORRESPONDIENTE A LOS MESE DE AGOSTO, SEPTIEMBRE Y OCTUBRE 2021.</t>
  </si>
  <si>
    <t>265-1</t>
  </si>
  <si>
    <t>PAGO A FACT. 87695 Y 86743 SERVICIO DE MANTENIMIENTO DE ELEVADORES CORRESPONDIENTE AL MES DE NOVIEMBRE Y DICIEMBRE 2021</t>
  </si>
  <si>
    <t>268-1</t>
  </si>
  <si>
    <t>TONER DEPOT MULTISERVICIOS EORG, SRL</t>
  </si>
  <si>
    <t>PAGO A FACT.39656,40075 Y 40622 SERVICIO DE IMPRESIONES CORRESPONDIENTE A LOS PERIODOS 27 DE SEPTIEMBRE AL 23 DE DICIEMBRE 2021</t>
  </si>
  <si>
    <t>279-1</t>
  </si>
  <si>
    <t xml:space="preserve">AIR LIQUIDE DOMINICANA, SAS </t>
  </si>
  <si>
    <t>PAGO A FACT. 36177,35970,36592,35773,35326 COMPRA DE OXIGENO</t>
  </si>
  <si>
    <t>284-1</t>
  </si>
  <si>
    <t xml:space="preserve">IMPUESTOS </t>
  </si>
  <si>
    <t>PAGO DE RETENCION A PROVEEDORES IR-17</t>
  </si>
  <si>
    <t>288-1</t>
  </si>
  <si>
    <t xml:space="preserve">PAGO A FACT. 1839,1844,1846 Y 1856 COMPRA DE PAPEL E INSUMOS DE OFICINA Y SERVICIO DE MANTENIMIENTO </t>
  </si>
  <si>
    <t>292-1</t>
  </si>
  <si>
    <t xml:space="preserve">JOEL ANTONIO MENDOZA DE JESUS </t>
  </si>
  <si>
    <t xml:space="preserve">PAGO A FACT. 11 COMPRA DE RESMA DE PAPEL </t>
  </si>
  <si>
    <t>296-1</t>
  </si>
  <si>
    <t xml:space="preserve">AYUNTAMIENTO DE SANTO DOMINGO NORTE </t>
  </si>
  <si>
    <t>PAGO  A FACT. 56498 RECOLECCION DE RESIDUOS ENERO Y FEBRERO 2022</t>
  </si>
  <si>
    <t xml:space="preserve">ARS SENASA SUBSIDIADO </t>
  </si>
  <si>
    <t>ARS APS</t>
  </si>
  <si>
    <t xml:space="preserve">ARS GMA </t>
  </si>
  <si>
    <t xml:space="preserve">DEPOSITOS NO IDENTIFICADOS AL 31 DE ENERO  </t>
  </si>
  <si>
    <t>EL LIBRA. NO 72-1 DE MULTISERVICIOS F&amp;S, SRL FUE ANULADO EN ESTA FECHA.</t>
  </si>
  <si>
    <t>314-1</t>
  </si>
  <si>
    <t>JOESMIL CONTRERAS CRISTO</t>
  </si>
  <si>
    <t xml:space="preserve">PAGO A FACT. 11 Y 12 COMPRA DE PRODUCTO GRAFICO Y REPARACION DE BUZON </t>
  </si>
  <si>
    <t>321-1</t>
  </si>
  <si>
    <t>325-1</t>
  </si>
  <si>
    <t>329-1</t>
  </si>
  <si>
    <t>333-1</t>
  </si>
  <si>
    <t>CORPORACION ACUEDUCTO ALCANTARILLADO SANTO DOMINGO (CASSD)</t>
  </si>
  <si>
    <t>PAGO A FAT. 92981168 SERVICIO DE AGUA MES DE FEBRERO 2022</t>
  </si>
  <si>
    <t>IMPUESTOS INTERNOS</t>
  </si>
  <si>
    <t>PAGO RETENCION DE ITBIS MES DE ENERO 2022</t>
  </si>
  <si>
    <t>PAGO A FACT. 5912179 SERVICIO DE CABLE MES DE FEBRERO 2022</t>
  </si>
  <si>
    <t>PAGO A FACT. 161 SERVICIO DE LEGALIZACION DE CONTRATOS CORRESPONDIENTES MES DE ENERO 2022</t>
  </si>
  <si>
    <t>ARS SIMAG</t>
  </si>
  <si>
    <t>14/02/2022</t>
  </si>
  <si>
    <t>15/02/2022</t>
  </si>
  <si>
    <t>16/02/2022</t>
  </si>
  <si>
    <t>17/02/2022</t>
  </si>
  <si>
    <t>18/02/2022</t>
  </si>
  <si>
    <t>21/02/2022</t>
  </si>
  <si>
    <t>22/02/2022</t>
  </si>
  <si>
    <t>ARS PRIMERA DE HUMANO</t>
  </si>
  <si>
    <t xml:space="preserve">ARS MAFRE </t>
  </si>
  <si>
    <t xml:space="preserve">SENASA CONTRIBUTIVO </t>
  </si>
  <si>
    <t xml:space="preserve">ARS YUNEN </t>
  </si>
  <si>
    <t>363-1</t>
  </si>
  <si>
    <t>PAGO NOMINA CARACTER TEMPORAL FEBRERO 2022</t>
  </si>
  <si>
    <t xml:space="preserve"> PAGO NOMINA  PRINCIPAL CORRESPONDIENTE  AL MES DE FEBRERO  2022</t>
  </si>
  <si>
    <t>NOMINA POR TESORERIA CORRESPONDIENTE AL MES DE FEBRERO2022</t>
  </si>
  <si>
    <t>PAGO RETENCION IMPUESTO SOBRE SALARIO  CORRESPONDIENTE A FEBRERO 2022. (IR-3).</t>
  </si>
  <si>
    <t>PAGO RETENCION SEGURIDAD SOCIAL FEBRERO 2022</t>
  </si>
  <si>
    <t>365-1</t>
  </si>
  <si>
    <t>369-1</t>
  </si>
  <si>
    <t>PAGO NOMINA CARACTER EVENTUAL FEBRERO 2022</t>
  </si>
  <si>
    <t>299-1</t>
  </si>
  <si>
    <t>PAGO DE INDEMNIZACIONES EX COLABORADORES FEBRERO 2022</t>
  </si>
  <si>
    <t>301-1</t>
  </si>
  <si>
    <t>PAGO VACACIONES EX COLABORADORES FEBRERO 2022</t>
  </si>
  <si>
    <t>367-1</t>
  </si>
  <si>
    <t>PAGO NOMINA COMPENSACION MILITAR FEBRERO 2022</t>
  </si>
  <si>
    <t>397-1</t>
  </si>
  <si>
    <t xml:space="preserve">PAGO A FACT. 46,47,48,49,50,51,52,53,54,55,57,58 Y 59 COMPRA DE ALIMENTOS </t>
  </si>
  <si>
    <t>26/02/2022</t>
  </si>
  <si>
    <t>399-1</t>
  </si>
  <si>
    <t>PAGO A FACT. 374,375,408 Y 411 COMPRA DE MEDICAMENTOS E INSUMOS MEDICOS</t>
  </si>
  <si>
    <t>401-1</t>
  </si>
  <si>
    <t>MACROTECH FARMACEUTICA, SRL</t>
  </si>
  <si>
    <t>PAGO A FACT. 90092570,90090824,9009613 Y 90095106 COMPRA DE UTILES MEDICOS</t>
  </si>
  <si>
    <t>403-1</t>
  </si>
  <si>
    <t>ANEST, SRL</t>
  </si>
  <si>
    <t xml:space="preserve">PAGO A FACT. 008147,008150,008067,008097 COMPRA DE MEDICAMENTOS </t>
  </si>
  <si>
    <t>405-1</t>
  </si>
  <si>
    <t>PAGO A FACT. 312,314,315,306 Y 264 COMPRA DE ALIMENTOS Y UTILES DE COCINA</t>
  </si>
  <si>
    <t>423-1</t>
  </si>
  <si>
    <t>TROPIGAS DOMINICANA, SRL</t>
  </si>
  <si>
    <t>PAGO A FACT. 1003968783 COMPRA DE GAS</t>
  </si>
  <si>
    <t>REPOSICION DE CAJA CHICA AL 04/01/2022 SEGUN COMPROBANTES DE DESEMBOLSO DEL 2207 AL 2232 ANEXOS.</t>
  </si>
  <si>
    <t>23/02/2022</t>
  </si>
  <si>
    <t>24/02/2022</t>
  </si>
  <si>
    <t>25/02/2022</t>
  </si>
  <si>
    <t>28/02/2022</t>
  </si>
  <si>
    <t xml:space="preserve">PAGO RENTA DE CAFETERIA </t>
  </si>
  <si>
    <t xml:space="preserve">SENASA </t>
  </si>
  <si>
    <t>PAGO A FACT. 01 PAGO DE PLANES COMPLEMENTARIOS DE SENASA AL CIERRE  DE NOVIEMBRE 2021.</t>
  </si>
  <si>
    <t>DEPOSITOS NO IDENTIFICADOS AL 28 DE FEBRERO</t>
  </si>
  <si>
    <t>ARS FURUTO</t>
  </si>
  <si>
    <t>ARS BANCO CENTRAL</t>
  </si>
  <si>
    <t xml:space="preserve">ARS MONUMENTAL </t>
  </si>
  <si>
    <t>445-1</t>
  </si>
  <si>
    <t>LSE COMERCIAL, EIRL</t>
  </si>
  <si>
    <t xml:space="preserve">PAGO A FACT. 12,13 Y 14 COMPRA DE INSUMOS DE OFICINA </t>
  </si>
  <si>
    <t>447-1</t>
  </si>
  <si>
    <t xml:space="preserve">PRO PHARMACEUTICAL PEÑA, SRL </t>
  </si>
  <si>
    <t>PAGO A FACT. 1415 COMPRA DE INSUMOS MEDICOS</t>
  </si>
  <si>
    <t>449-1</t>
  </si>
  <si>
    <t xml:space="preserve">CRISTALIA DOMINICANA, SRL </t>
  </si>
  <si>
    <t xml:space="preserve">PAGO A FACT. 28812,28661 Y 28569 COMPRA DE MEDICAMENTOS </t>
  </si>
  <si>
    <t>451-1</t>
  </si>
  <si>
    <t>SEAN DOMINICANA SRL</t>
  </si>
  <si>
    <t xml:space="preserve">PAGO A FACT. 17710,18015,17583,18470 COMPRA DE MEDICAMENTOS </t>
  </si>
  <si>
    <t>453-1</t>
  </si>
  <si>
    <t>PAGO A FACT. 4237,4287,4299,4345 COMPRA DE INSUMOS MEDICOS Y PRODUCTOS DE PAPEL</t>
  </si>
  <si>
    <t>455-1</t>
  </si>
  <si>
    <t xml:space="preserve">PHARMACEUTICAL TECNOLOGY, SA </t>
  </si>
  <si>
    <t>PAGO A FACT. 464142,468671,468116,469714 Y 47837 COMPRA DE MEDICAMENTOS.</t>
  </si>
  <si>
    <t>457-1</t>
  </si>
  <si>
    <t xml:space="preserve">PAGO A FACT. 654164,654823,663542,663543 Y 663555 COMPRA DE MEDICAMENTOS </t>
  </si>
  <si>
    <t>459-1</t>
  </si>
  <si>
    <t>DISTRIBUIDORA JUMELLES, SRL</t>
  </si>
  <si>
    <t>PAGO A FACT. 2019 Y 2132 COMPRA DE INSUMOS MEDICOS</t>
  </si>
  <si>
    <t>461-1</t>
  </si>
  <si>
    <t>HOSPIFAR, SRL</t>
  </si>
  <si>
    <t xml:space="preserve">PAGO A FACT. 1053921 COMPRA DE INSUMOS MEDICOS </t>
  </si>
  <si>
    <t>464-1</t>
  </si>
  <si>
    <t xml:space="preserve">MORAMI, SRL </t>
  </si>
  <si>
    <t xml:space="preserve">SALDO A FACT. 3397 Y PAGO 3312,3311,3533 Y 3504 COMPRA DE MEDICAMENTOS </t>
  </si>
  <si>
    <t>472-1</t>
  </si>
  <si>
    <t xml:space="preserve">FARMACEUTICA DALMASI (FARMADAL), SRL </t>
  </si>
  <si>
    <t xml:space="preserve">PAGO A FACT. 5249 COMPRA DE INSUMOS MEDICOS </t>
  </si>
  <si>
    <t>466-1</t>
  </si>
  <si>
    <t>IMPRESOS C&amp;M, SRL</t>
  </si>
  <si>
    <t xml:space="preserve">PAGO A FAT. 00159 Y 00158 COMPRA DE VARIOS IMPRESOS </t>
  </si>
  <si>
    <t>468-1</t>
  </si>
  <si>
    <t>MERATI DOMINICANA, SRL</t>
  </si>
  <si>
    <t xml:space="preserve">PAGO A FACT. 11 COMPRA DE INSUMOS MEDICOS </t>
  </si>
  <si>
    <t>470-1</t>
  </si>
  <si>
    <t>DISTRIBUIDORA EDFER, SRL</t>
  </si>
  <si>
    <t xml:space="preserve">PAGO A FACT. 15047 COMPRA DE MEDICAMENTOS </t>
  </si>
  <si>
    <t>474-1</t>
  </si>
  <si>
    <t xml:space="preserve">ULTRALAB, SRL </t>
  </si>
  <si>
    <t xml:space="preserve">PAGO A FACT. 032181,031447 Y 032169 COMRA DE REACTIVOS E INSUMOS </t>
  </si>
  <si>
    <t>478-1</t>
  </si>
  <si>
    <t xml:space="preserve">IMPUESTOS IR-17 MES DE JULIO 2019 </t>
  </si>
  <si>
    <t>PAGO RETENCION DE IMPUESTOS IR-17 CORRESPONDIENTE AL MES DE JULIO 2019</t>
  </si>
  <si>
    <t>482-1</t>
  </si>
  <si>
    <t xml:space="preserve">COMPAÑIA DOMINICANA DE TELEFONO C POR A </t>
  </si>
  <si>
    <t>PAGO A FACT. 105 Y 107 SERVICIO DE TELEFONO MES DE FEBRERO 2022</t>
  </si>
  <si>
    <t>485-1</t>
  </si>
  <si>
    <t xml:space="preserve">BIO NOVA, SRL </t>
  </si>
  <si>
    <t>PAGO A FACT. 26312,24611,24610,24278,24612,25710,26168,26080,25550,25310,25938 Y 26103 COMPRA DE INSUMOS MEDICOS Y REACTIVOS.</t>
  </si>
  <si>
    <t>499-1</t>
  </si>
  <si>
    <t xml:space="preserve">ROFASA FARMA, SIRL </t>
  </si>
  <si>
    <t xml:space="preserve">PAGO A FACT. 256 COMPRA DE INSUMOS MEDICOS </t>
  </si>
  <si>
    <t>501-1</t>
  </si>
  <si>
    <t xml:space="preserve">OSCAR A. RENTA NEGRON S A </t>
  </si>
  <si>
    <t xml:space="preserve">PAGO A FACT. 036542 Y 040346 COMPRA DE UTILES MEDICOS </t>
  </si>
  <si>
    <t>505-1</t>
  </si>
  <si>
    <t xml:space="preserve">I MD MEDIC INTER C POR A </t>
  </si>
  <si>
    <t xml:space="preserve">PAGO A FACT. 118,116 COMPRA DE MATERIAL DE LIMPIEZA </t>
  </si>
  <si>
    <t>507-1</t>
  </si>
  <si>
    <t>GOMEZ MAGALLANES INGENIERIA &amp; SERVICIOS GENERALES, SRL</t>
  </si>
  <si>
    <t>PAGO A FACT. 312 SERVICIO DE MANTEIMIENTO DE LOS GENERADORES</t>
  </si>
  <si>
    <t>509-1</t>
  </si>
  <si>
    <t xml:space="preserve">ERIK GAS DEL 2000 SRL </t>
  </si>
  <si>
    <t>PAGO A FACT. 5420 COMPRA DE GASOIL</t>
  </si>
  <si>
    <t>511-1</t>
  </si>
  <si>
    <t xml:space="preserve">HAUSPITAL, SRL </t>
  </si>
  <si>
    <t xml:space="preserve">PAGO A FACT. 259,260,263,287,276 Y 283 COMPRA DE MEDICAMENTOS DE INSUMOS </t>
  </si>
  <si>
    <t>524-1</t>
  </si>
  <si>
    <t>GRUPO Z HEALTHCARE PRODUCTS DOMINICANA, SRL</t>
  </si>
  <si>
    <t xml:space="preserve">PAGO A FACT. 4838,4892 Y 5026 COMPRA DE UTILES MEDICOS </t>
  </si>
  <si>
    <t>526-1</t>
  </si>
  <si>
    <t xml:space="preserve">LABIN DOMINICANA, SRL </t>
  </si>
  <si>
    <t xml:space="preserve">PAGO A FACT. 126,132,149, 163 Y 120 COMPRA DE REACTIVOS Y PRODUCTOS ELECTRICOS  </t>
  </si>
  <si>
    <t>528-1</t>
  </si>
  <si>
    <t xml:space="preserve">SERVIAMED DOMINICANA, SRL </t>
  </si>
  <si>
    <t xml:space="preserve">PAGO A FACT. 89279,89429,90288,90324,88278,900686,88312 Y 90728 COMPRA DE INSUMOS MEDICOS </t>
  </si>
  <si>
    <t>530-1</t>
  </si>
  <si>
    <t xml:space="preserve">EMPRESA GALATICA SRL </t>
  </si>
  <si>
    <t>PAGO A FACT. 059510, 059509,059511,059293,059292,059225,059294,058991,058990,058989,058579,058577,058576,058259,058258 Y 058257 COMPRA DE MATERIAL DE LIMPIEZA.</t>
  </si>
  <si>
    <t>534-1</t>
  </si>
  <si>
    <t>BIO NUCLEAR, SA</t>
  </si>
  <si>
    <t>PAGO A FACT. 390226,387539,388003,388964,388392,388728,390828,390661,390095,389870,391442,391010,392999,392443,392698,392105,391449,391444,389336 COMPRA DE REACTIVOS Y INSUMOS.</t>
  </si>
  <si>
    <t>546-1</t>
  </si>
  <si>
    <t>PAGO A FACT. 009261 COMPRA DE MEDICAMENTOS</t>
  </si>
  <si>
    <t>548-1</t>
  </si>
  <si>
    <t xml:space="preserve">MEDI SOL SRL </t>
  </si>
  <si>
    <t>PAGO A FACT. 19432 COMPRA DE INSUMOS MEDICOS</t>
  </si>
  <si>
    <t>551-1</t>
  </si>
  <si>
    <t>PAGO A FACT. 006896 COMPRA DE SAL</t>
  </si>
  <si>
    <t>553-1</t>
  </si>
  <si>
    <t>DENTAL CAMPUSANO, SRL (DENSA)</t>
  </si>
  <si>
    <t>PAGO A FACT. 51984 COMPRA DE INSUMOS</t>
  </si>
  <si>
    <t>555-1</t>
  </si>
  <si>
    <t xml:space="preserve">GAROSS PHARMA, SRL </t>
  </si>
  <si>
    <t>PAGO A FACT. 002057002061,002081,002083,002098,002099,002116,002129,002144,002148,002164 Y 002179 COMPRA DE REACTIVOS</t>
  </si>
  <si>
    <t>572-1</t>
  </si>
  <si>
    <t xml:space="preserve">PAGO A FACT. 15049,15048,15050 Y COMPRA DE MEDICAMENTOS </t>
  </si>
  <si>
    <t>575-1</t>
  </si>
  <si>
    <t xml:space="preserve">PAGO A FACT. 4162 Y ABONO 70% A FACT. 4523 </t>
  </si>
  <si>
    <t>577-1</t>
  </si>
  <si>
    <t>DENTAL &amp; MEDICAL DEPORT, SRL</t>
  </si>
  <si>
    <t>PAGO A FACT. 3-2486 COMPRA DE INSUMOS MEDICOS</t>
  </si>
  <si>
    <t>579-1</t>
  </si>
  <si>
    <t>GRUPO FARMACEUTICO CAR-M, SRL (GRUFACARM)</t>
  </si>
  <si>
    <t>PAGO A FACT. 1740 Y 1497 COMPRA DE INSUMOS MEDICOS Y MEDICAMENTOS</t>
  </si>
  <si>
    <t>581-1</t>
  </si>
  <si>
    <t xml:space="preserve">PAGO A FACT. 22 Y 27 COMPRA DE UTILES MEDICOS </t>
  </si>
  <si>
    <t>584-1</t>
  </si>
  <si>
    <t>PAGO A FACT. 28 SERVICIO DE MANTENIMIENTO</t>
  </si>
  <si>
    <t>586-1</t>
  </si>
  <si>
    <t xml:space="preserve">PAGO A FACT. 521,557,605 Y 584 COMPRA DE FUNDAS PLASTICAS </t>
  </si>
  <si>
    <t>596-1</t>
  </si>
  <si>
    <t>PAGO A FACT. 5577 Y 5943, COMPRA DE INSUMOS MEDICOS</t>
  </si>
  <si>
    <t>602-1</t>
  </si>
  <si>
    <t>LAMDDA DIAGNOSTICA, SRL</t>
  </si>
  <si>
    <t>PAGO A FACT. 9794,8799,9288,7072,8776, Y 0162, COMPRA DE MEDICAMENTOS.</t>
  </si>
  <si>
    <t>610-1</t>
  </si>
  <si>
    <t xml:space="preserve">PAGO A FACT. 3590,3621 Y 3622, COMPRA DE INSUMOS Y MEDICAMNETOS </t>
  </si>
  <si>
    <t>616-1</t>
  </si>
  <si>
    <t xml:space="preserve">PAGO A FACT. 416, COMPRA DE INSUMOS MEDICOS </t>
  </si>
  <si>
    <t>620-1</t>
  </si>
  <si>
    <t xml:space="preserve">DISTRIBUIDORA FARMACEUTICA, ABC SRL </t>
  </si>
  <si>
    <t xml:space="preserve">PAGO FACT. 127, Y 129 COMPRA DE MEDICAMENTOS </t>
  </si>
  <si>
    <t>606-1</t>
  </si>
  <si>
    <t xml:space="preserve">PAGO A FACT. 1373,1396,1377,1384,1368,1418,1418,1425,1410, 1407 Y 1399, COMPRA DE SANGRE DE CARNERO </t>
  </si>
  <si>
    <t>626-1</t>
  </si>
  <si>
    <t xml:space="preserve">JOCACE, SA </t>
  </si>
  <si>
    <t>PAGO  A FACT. 73413,72913 Y 73175, COMPRE DE MEDICAMENTOS.</t>
  </si>
  <si>
    <t>637-1</t>
  </si>
  <si>
    <t xml:space="preserve">PROGRAMA DE MEDICAMENTOS ESENCIALES </t>
  </si>
  <si>
    <t>PAGO A FACT. 474137,474139,474000 Y 474008, COMPRA DE MEDICAMETOS, INSUMOS MEDICOS Y PRODUC TOS DE PAPEL.</t>
  </si>
  <si>
    <t>650-1</t>
  </si>
  <si>
    <t>654-1</t>
  </si>
  <si>
    <t xml:space="preserve">PAGO A FACT. 93209849, SERVICIO DE AGUA POTABLE </t>
  </si>
  <si>
    <t>658-1</t>
  </si>
  <si>
    <t>ROSMED HEALTH, SIRL</t>
  </si>
  <si>
    <t xml:space="preserve">PAGO A FACT. 018, COMPRA DE MEDICAMENTOS </t>
  </si>
  <si>
    <t>662-1</t>
  </si>
  <si>
    <t xml:space="preserve">MULTISERVICIOS F&amp;S, SRL </t>
  </si>
  <si>
    <t xml:space="preserve">PAGO A FACT. 1847,1858 Y 1852, COMPRA DE PAPEL </t>
  </si>
  <si>
    <t>666-1</t>
  </si>
  <si>
    <t>POPULARIDADES COMERCIALES-POPCOM, SRL</t>
  </si>
  <si>
    <t xml:space="preserve">PAGO  A FACT. 1423 MATERIALES DE COSTURA </t>
  </si>
  <si>
    <t>670-1</t>
  </si>
  <si>
    <t xml:space="preserve">PAT &amp; MELL PHARMACEUTICAL S A </t>
  </si>
  <si>
    <t>PAGO A FACT. 40735,40655,40348 Y 40033, COMPRA DE INSUMOS MEDICOS.</t>
  </si>
  <si>
    <t>675-1</t>
  </si>
  <si>
    <t>LETERAGO, SRL</t>
  </si>
  <si>
    <t>PAGO A FACT. 3925, COMPRA DE MEDICAMENTOS</t>
  </si>
  <si>
    <t>630-1</t>
  </si>
  <si>
    <t xml:space="preserve">FARMACO INTERNACIONAL, SRL </t>
  </si>
  <si>
    <t xml:space="preserve">PAGO A FACT. 530,552,554,556,545 COMPRA DE INSUMOS MEDICOS </t>
  </si>
  <si>
    <t>642-1</t>
  </si>
  <si>
    <t>PAGO A FACT. 200088499 Y 2000088533, COMPRA DE BOTON ELECTRICO Y TARJETA ELECTRICA</t>
  </si>
  <si>
    <t>646-1</t>
  </si>
  <si>
    <t>PROFICARE INSUMOS MEDICOS, SRL</t>
  </si>
  <si>
    <t xml:space="preserve">PAGO A FACT. 29 COMPRA DE INSUMOS MEDICOS </t>
  </si>
  <si>
    <t>ALTICE DOMINICANA SA</t>
  </si>
  <si>
    <t>681-1</t>
  </si>
  <si>
    <t xml:space="preserve">PROFARES, SRL </t>
  </si>
  <si>
    <t xml:space="preserve">PAGO A FACT. 4883 Y 4918, COMPRA DE MEDICAMENTOS E INSUMOS MEDICOS </t>
  </si>
  <si>
    <t>14/03/2022</t>
  </si>
  <si>
    <t>692-1</t>
  </si>
  <si>
    <t>MAXBIO PHARMA, SRL</t>
  </si>
  <si>
    <t>PAGO A FACT. 029,047 056 Y 073 COMPRA DE MEDICAMENTOS</t>
  </si>
  <si>
    <t>696-1</t>
  </si>
  <si>
    <t xml:space="preserve">IMPROFORMAS, SRL </t>
  </si>
  <si>
    <t>PAGO A FACT. 20000010312, COMPRA DE PAPEL</t>
  </si>
  <si>
    <t>15/03/2022</t>
  </si>
  <si>
    <t xml:space="preserve">SANTO DOMINGO MOTOR COMPANY S.A </t>
  </si>
  <si>
    <t>PAGO A FAC. NO. 1750408209 MANTENIMIENTO GENERAL CAMIONETA NISSAN FRONTIER.</t>
  </si>
  <si>
    <t>701-1</t>
  </si>
  <si>
    <t>PROMESECAL (PROGRAMA DE MEDICAMENTOS ESENCIALES)</t>
  </si>
  <si>
    <t>COMPRA DE MEDICMANETOS, PRODUCTOS  DE PAPEL E INSUMOS</t>
  </si>
  <si>
    <t>707-1</t>
  </si>
  <si>
    <t>MERATI-DOMINICANA, SRL</t>
  </si>
  <si>
    <t>PAGO A FACT. 16 Y 24, COMPRA DE INSUMOS DE ODONTOLOGIA</t>
  </si>
  <si>
    <t>711-1</t>
  </si>
  <si>
    <t>PAGO A FACT. 126,132,149,163,120,153,161 Y 131 COMPRA DE REACTIVOS Y PRODUCTOS ELECTRICOS.</t>
  </si>
  <si>
    <t>716-1</t>
  </si>
  <si>
    <t>ROPHARMA, SRL</t>
  </si>
  <si>
    <t>PAGO A FACT. 210,176,165,162,236,258,234,262 Y 260. COMPRA DE MEDICAMENTOS E INSUMOS MEDICOS.</t>
  </si>
  <si>
    <t>740-1</t>
  </si>
  <si>
    <t>BAUCOMER, SRL</t>
  </si>
  <si>
    <t xml:space="preserve">PAGO A FACT. 156, COMPRA DE MEDICAMENTOS </t>
  </si>
  <si>
    <t>744-1</t>
  </si>
  <si>
    <t xml:space="preserve">PAGO A FACT. 002057,002061,002081,002083,002098,002099,002116,002129,002144,002148,002164 Y 002179 COMPRA DE REACTIVOS E INSUMOS </t>
  </si>
  <si>
    <t>748-1</t>
  </si>
  <si>
    <t>PAGO A FACT.044419 Y 042724, COMPRA DE INSUMOS MEDICOS</t>
  </si>
  <si>
    <t>762-1</t>
  </si>
  <si>
    <t>SUPLIMED, SRL</t>
  </si>
  <si>
    <t>PAGO A FACT. 3028,3054,3040, COMPRA DE INSUMOS MEDICOS</t>
  </si>
  <si>
    <t>764-1</t>
  </si>
  <si>
    <t xml:space="preserve">PAGO A FACT. 3178, 31943,31819,32320,32353,31820,31941,32354,32170,32355,32226,32321,32259 Y 33003, COMPRA DE REACTIVO E INSUMOS </t>
  </si>
  <si>
    <t>EL LIBRA.526-1 DE LABIN DOMINICANA, SRL FUE ANULADO EN ESTA FECHA.</t>
  </si>
  <si>
    <t>EL LIBRA.555-1 DE GAROS PHARMA, SRL FUE ANULADO EN ESTA FECHA.</t>
  </si>
  <si>
    <t>16/03/2022</t>
  </si>
  <si>
    <t>DEPOSITO NO IDENTIFICADO AL 31 DE FEBRERO 2022</t>
  </si>
  <si>
    <t>17/03/2022</t>
  </si>
  <si>
    <t>772-1</t>
  </si>
  <si>
    <t xml:space="preserve">CESAR AUGUSTO PEREZ SUBEREN </t>
  </si>
  <si>
    <t>PAGO A FACT. 73,77,76,78,79 Y 80, COMPRA DE PRODUCTOS Y UTILES VARIOS.</t>
  </si>
  <si>
    <t>776-1</t>
  </si>
  <si>
    <t xml:space="preserve">PAGO A FACT. 163,SERVICIOS TECNICOS PROFESIONALES </t>
  </si>
  <si>
    <t>779-1</t>
  </si>
  <si>
    <t>DIMEDOM EE DIAGNOSTICOS MEDICOS DOMINICANOS, SRL</t>
  </si>
  <si>
    <t xml:space="preserve">PAGO A FACT. 156, COMPRA DE INSUMOS MEDICOS </t>
  </si>
  <si>
    <t>783-1</t>
  </si>
  <si>
    <t>PAGO A FACT. 182, COMPRA DE INSUMOS MEDICOS</t>
  </si>
  <si>
    <t xml:space="preserve">PRIMERA ARS HUMANO </t>
  </si>
  <si>
    <t>RENTA CAFETERIA</t>
  </si>
  <si>
    <t>18/03/2022</t>
  </si>
  <si>
    <t>21/03/2022</t>
  </si>
  <si>
    <t>805-1</t>
  </si>
  <si>
    <t xml:space="preserve">PAGO A FACT.  86,87,974,993 Y 1076 COMPRA DE UTILES MEDICOS </t>
  </si>
  <si>
    <t>806-1</t>
  </si>
  <si>
    <t>807-1</t>
  </si>
  <si>
    <t>PAGO A FACT. 62735 RECOLECCION DE BASURA MES DE MARZO 2021</t>
  </si>
  <si>
    <t>824-1</t>
  </si>
  <si>
    <t>PAGO A FACT. 353 COMPRA DE MEDIAS ANTIEMBOLICAS</t>
  </si>
  <si>
    <t>826-1</t>
  </si>
  <si>
    <t>PAGO A FACT. 20009007 Y 20009565 COMPRA DE MEDICAMENTOS</t>
  </si>
  <si>
    <t>828-1</t>
  </si>
  <si>
    <t xml:space="preserve">QUIROFANOS L Q, ARL </t>
  </si>
  <si>
    <t xml:space="preserve">PAGO A FAC. 1399 COMPRA DE INSUMOS MEDICOS </t>
  </si>
  <si>
    <t>23/03/2022</t>
  </si>
  <si>
    <t>843-1</t>
  </si>
  <si>
    <t>ACM SUPLY EXPRESS, SRL</t>
  </si>
  <si>
    <t>PAGO A FACT. CC202203101005943270, INTERNET Y CABLE MARZO.</t>
  </si>
  <si>
    <t>22/03/2022</t>
  </si>
  <si>
    <t>NOMINA POR TESORERIA CORRESPONDIENTE AL MES DE MARZO 2022</t>
  </si>
  <si>
    <t>PAGO RETENCION IMPUESTO SOBRE SALARIO  CORRESPONDIENTE A MARZO 2022. (IR-3).</t>
  </si>
  <si>
    <t>PAGO RETENCION SEGURIDAD SOCIAL MARZO  2022</t>
  </si>
  <si>
    <t>752-1</t>
  </si>
  <si>
    <t>754-1</t>
  </si>
  <si>
    <t>PAGO NOMINA CARACTER TEMPORAL MARZO 2022</t>
  </si>
  <si>
    <t>720-1</t>
  </si>
  <si>
    <t>PAGO PRESTACIONES EX COLABORADORES.</t>
  </si>
  <si>
    <t>719-1</t>
  </si>
  <si>
    <t>PAGO VACACIONES EX COLABORADORES MARZO 2022.</t>
  </si>
  <si>
    <t>PAGO  NOMINA CARACTER TEMPORAL MARZO 2022.</t>
  </si>
  <si>
    <t xml:space="preserve"> PAGO NOMINA  PRINCIPAL CORRESPONDIENTE  AL MES DE MARZO 2022.</t>
  </si>
  <si>
    <t>PAGO NIMONA COMPENSACION MILITAR MARZO 2022.</t>
  </si>
  <si>
    <t>756-1</t>
  </si>
  <si>
    <t>758-1</t>
  </si>
  <si>
    <t>PAGO NOMINA CARACTER EVENTUAL MARZO 2022.</t>
  </si>
  <si>
    <t>PAGO A FACT. 113, COMPRA DE INSUMOS MEDICOS.</t>
  </si>
  <si>
    <t>REPOSICION DE CAJA CHICA AL 23/03/2022 SEGUN COMPROBANTES DE DESEMBOLSO DEL 2233 AL 2265 ANEXOS.</t>
  </si>
  <si>
    <t>24/03/2022</t>
  </si>
  <si>
    <t>25/03/2022</t>
  </si>
  <si>
    <t>866-1</t>
  </si>
  <si>
    <t>CIENTEC, S.R.L.</t>
  </si>
  <si>
    <t>PAGO A FACTURA N0. 132244, 132421, COMPRA DE REACTIVOS.</t>
  </si>
  <si>
    <t>BLAXCORP MEDICAL</t>
  </si>
  <si>
    <t>PAGO A FACTURA N0. 110, 114 Y 118, COMPRA DE REACTIVOS.</t>
  </si>
  <si>
    <t>870-1</t>
  </si>
  <si>
    <t>874-1</t>
  </si>
  <si>
    <t>2T IMPORTACIONES, S.R.L.</t>
  </si>
  <si>
    <t>PAGO A FACTURA N0. 203852, COMPRA DE INSUMOS MEDICOS.</t>
  </si>
  <si>
    <t>29/03/2022</t>
  </si>
  <si>
    <t>28/03/2022</t>
  </si>
  <si>
    <t>ASR SENASA SUBSIDIADO</t>
  </si>
  <si>
    <t>ARS MAPFRE SALUD</t>
  </si>
  <si>
    <t>ARS RENACER</t>
  </si>
  <si>
    <t>ARS  ASEMAP</t>
  </si>
  <si>
    <t>PAGO NO0MINA INCENTIVO POR RENDIMIENTO JULIO-DICIEMBRE 2021</t>
  </si>
  <si>
    <t>NOMINA</t>
  </si>
  <si>
    <t>18/3/2022</t>
  </si>
  <si>
    <t>PAGO FACTURA. 1404 Y 1502 COPRA DE MEDICAMENTOS</t>
  </si>
  <si>
    <t>30/3/2022</t>
  </si>
  <si>
    <t>PAGO DE FACTURA  106 Y 108 SERVICIO DE TELEFENO, FLOTAS Y LARGA DISTANCIA</t>
  </si>
  <si>
    <t>31/03/2022</t>
  </si>
  <si>
    <t>803-1</t>
  </si>
  <si>
    <t>880-1</t>
  </si>
  <si>
    <t>DOMINICAN HOSPITALITY SUPPLY,DHS,SRL</t>
  </si>
  <si>
    <t>PAGO A FACTURA 317,327,329,318,319,322,323,324,325,326,328,Y 307 COMPRA  DE MEDICAMENTO.</t>
  </si>
  <si>
    <t>30/03/2022</t>
  </si>
  <si>
    <t>883-1</t>
  </si>
  <si>
    <t>TENDAMED,SRL</t>
  </si>
  <si>
    <t>PAGO A FACTURA 306,319 Y 320 COMPRA DE INSUMOY MEDICAMENTOS.</t>
  </si>
  <si>
    <t>885-1</t>
  </si>
  <si>
    <t>PRODUCTOS MEDICINALES SRL</t>
  </si>
  <si>
    <t>PAGO A FACTURA 14562 Y 14618 COMPRA DE INSUMA MEDICOS.</t>
  </si>
  <si>
    <t>893-1</t>
  </si>
  <si>
    <t xml:space="preserve">PRO PHARMACEUTICAL PEA, SRL </t>
  </si>
  <si>
    <t>MEDICAMENTOS COMERCIALES  NUÑEZ MORALES,SRL</t>
  </si>
  <si>
    <t>PAGO A FACTURA 10736,10782 COMPRA DE MEDICAMENTOS</t>
  </si>
  <si>
    <t>924-1</t>
  </si>
  <si>
    <t>889-1</t>
  </si>
  <si>
    <t>TONER DEPOT MULTISERVICIOS EORG,SRL</t>
  </si>
  <si>
    <t>PAGO A FACTURA 41022 Y 41566 SERVICIOS DE IMPRESION DIC-ENERO 2022</t>
  </si>
  <si>
    <t>907-1</t>
  </si>
  <si>
    <t>ANEST,SRL</t>
  </si>
  <si>
    <t>PAGO A FACTURA 8281, 8298 COMPRA DE MEDICAMENTOS</t>
  </si>
  <si>
    <t>915-1</t>
  </si>
  <si>
    <t>PAGO A FACTURA 54647,5525,59021 Y 60285</t>
  </si>
  <si>
    <t>920-1</t>
  </si>
  <si>
    <t>ROSSY YOMEIDY RAMIREZ DE DIOS</t>
  </si>
  <si>
    <t>PAGO A FACTURA 61,56,60,64,63,Y 62 COMPRA DE ALIMENTOS</t>
  </si>
  <si>
    <t>932-1</t>
  </si>
  <si>
    <t>MAIKOL JOSE DE LA ROSA RAMIREZ</t>
  </si>
  <si>
    <t>PAGO A FACTURA 119,127,Y 128 ALIMENTOS Y BEBIDAS</t>
  </si>
  <si>
    <t>851-1</t>
  </si>
  <si>
    <t>EL LIBRA.779-1 DE DIMEDON A, SRL FUE ANULADO EN ESTA FECHA.</t>
  </si>
  <si>
    <t>911-1</t>
  </si>
  <si>
    <t>SETEC</t>
  </si>
  <si>
    <t xml:space="preserve">PAGO A FACTURA N0. 200090415, 200090333, 2000089512 Y 200088615, PAGO MANTENIMIENTO DE ELEVADORES CORRESPONDIENTE A LOSMESES ENERO Y FEBRERO 2022 Y COMPRA DE PRODUCTOS ELECTRICOS . </t>
  </si>
  <si>
    <t>31/3/2022</t>
  </si>
  <si>
    <t>DEPOSITOS NO IDENTIFICADOS AL 31 DE MARZO.</t>
  </si>
  <si>
    <t>DEVOLUCION A PACIENTE POR ABONO EN HABITACION PRIVADA SEGUN RECIBO 595420 DE  27/02/2022</t>
  </si>
  <si>
    <t>PROFETA QUEZADA BRAZOBAN</t>
  </si>
  <si>
    <t>DEVOLUCION A PACIENTE EN HABITACION  PRIVADA HOSPITALIZACION SEGUN RECIBO 698301   3/03/2022</t>
  </si>
  <si>
    <t>YEREMY ALEXANDRA GOMEZ</t>
  </si>
  <si>
    <t>DEVOLUCION A PACIENTE POR ABONO EN HABITACION PRIVADA SEGUN RECIBO 715338 DE  07/04/2022</t>
  </si>
  <si>
    <t>PAGO A FACT. 032181,031447 Y 032169 COMRA DE REACTIVOS E INSUMOS .</t>
  </si>
  <si>
    <t>PAGO A FACT. 15047 COMPRA DE MEDICAMENTOS .</t>
  </si>
  <si>
    <t>13/04/2022</t>
  </si>
  <si>
    <t>941-1</t>
  </si>
  <si>
    <t>PAGO A FACTURA 141,143,144,145,146,147,Y 148 COMPRA DE ALIMENTOS Y BEBIDAS.</t>
  </si>
  <si>
    <t>949-1</t>
  </si>
  <si>
    <t>BIO-WIN,SRL</t>
  </si>
  <si>
    <t>PAGO A FACTURA  1426,1432,1440,1445,1447,1455,1466 COMPRA DE SANGRE DE CARNERO</t>
  </si>
  <si>
    <t>953-1</t>
  </si>
  <si>
    <t>RAMISOL</t>
  </si>
  <si>
    <t>PAGO A FACTURA 545,569,570 Y 576 COMPRA DE UTILES MEDICOS  Y MEDICAMENTOS.</t>
  </si>
  <si>
    <t>968-1</t>
  </si>
  <si>
    <t>SEAN DOMINICANA, SRL</t>
  </si>
  <si>
    <t>PAGO A FACTURA 19093,19183,19310,19669. COMPRA DE MEDICAMENTOS.</t>
  </si>
  <si>
    <t>994-1</t>
  </si>
  <si>
    <t>COMPRA MED,SRL</t>
  </si>
  <si>
    <t>1000-1</t>
  </si>
  <si>
    <t>PHARMATECH</t>
  </si>
  <si>
    <t>PAGO A FACTURA SD00473102,SD00474229,SD00474744,COMPRA DE MEDICAMENTOS.</t>
  </si>
  <si>
    <t>1004-1</t>
  </si>
  <si>
    <t>R&amp;P PROVISOLUCIONESSRL</t>
  </si>
  <si>
    <t>PAGO A FACTURA 039 COMPRA DE UTILES MENORES.</t>
  </si>
  <si>
    <t>1008-1</t>
  </si>
  <si>
    <t>R&amp;R MANTENIMIENTO,SRL</t>
  </si>
  <si>
    <t>1012-1</t>
  </si>
  <si>
    <t>SOLUCIONES DE SERVICIOS Y TECNICAS ALTADIS,SRL</t>
  </si>
  <si>
    <t>PAGO A FACTURA B1500000001, COMPRA DE INSUMOS MEDICOS.</t>
  </si>
  <si>
    <t>1040-1</t>
  </si>
  <si>
    <t>ULTRALAB</t>
  </si>
  <si>
    <t>PAGO A FACTURA 32536,32580,33516,32811,32180,32479,33629,33824. COMPRA DE REACTIVOS,INSUMOS Y EQUIPOS MEDICOS.</t>
  </si>
  <si>
    <t>1044-1</t>
  </si>
  <si>
    <t>PAGO A FACTURA 19670,19732,19838,Y 19933. COMPRA DE MEDICAMENTOS.</t>
  </si>
  <si>
    <t>1048-1</t>
  </si>
  <si>
    <t>FRIFARAMA</t>
  </si>
  <si>
    <t>1054-1</t>
  </si>
  <si>
    <t>LSE COMERCIAL,EIRL</t>
  </si>
  <si>
    <t>PAGO A FACTURA 0015,0016,0017,0018. COMPRA DE PAPEL.</t>
  </si>
  <si>
    <t>1059-1</t>
  </si>
  <si>
    <t>PAGO A FACTURA NO. SD00477948,SD00478101,SD00476266, SD00466215,SD00473107, COMPRA DE MEDICAMENTOS .</t>
  </si>
  <si>
    <t>1063-1</t>
  </si>
  <si>
    <t>PRO PHARMACEUTICAL PE;A,SRL</t>
  </si>
  <si>
    <t>PAGO A FACTURA 1515, Y 1516 COMPRA DE MEDICAMENTOS.</t>
  </si>
  <si>
    <t>1067-1</t>
  </si>
  <si>
    <t>MEDICAMENTOS COMERCIALES NU;EZ MORALES</t>
  </si>
  <si>
    <t>PAGO A FACTURA 10758,10789 Y 10836 COMPRA DE UTILES MEDICOS Y PRODUCTOS QUIMICOS.</t>
  </si>
  <si>
    <t>1071-1</t>
  </si>
  <si>
    <t>BIONUCLEAR</t>
  </si>
  <si>
    <t>PAGO A FACTURA 394667,397746,394485,394403 COMPRA INSUMOS Y REACTIVOS.</t>
  </si>
  <si>
    <t>1075-1</t>
  </si>
  <si>
    <t>AIR LIQUIDE</t>
  </si>
  <si>
    <t>13/04/22</t>
  </si>
  <si>
    <t>1079-1</t>
  </si>
  <si>
    <t>MACROTECH</t>
  </si>
  <si>
    <t>PAGO A FACTURA 90097978,90097953,Y 90097954 COMPRA DE MEDICAMENTOS E INSUMOS MEDICOS.</t>
  </si>
  <si>
    <t>1088-1</t>
  </si>
  <si>
    <t>PAGO A FACTURA 42362,42335,41429,41407,41094,40479,39834,38954,COMPRA DE OXIGENO Y AIRE COMPRIMIDO.</t>
  </si>
  <si>
    <t>1092-1</t>
  </si>
  <si>
    <t xml:space="preserve">PAGO A FACTURA 05 COMPRA DE ACCESORIOS DE COCINA </t>
  </si>
  <si>
    <t>MAX BIO,SRL</t>
  </si>
  <si>
    <t xml:space="preserve">PAGO A FACTURA PUB.000067 COMPRA DE MEDICAMENTOS </t>
  </si>
  <si>
    <t>1096-1</t>
  </si>
  <si>
    <t>1100-1</t>
  </si>
  <si>
    <t>PROMEDCA</t>
  </si>
  <si>
    <t>1104-1</t>
  </si>
  <si>
    <t>PROFARES,SRL</t>
  </si>
  <si>
    <t>PAGO  A FACTURA 4999 COMPRA DE INSUMOS MEDICOS.</t>
  </si>
  <si>
    <t>1108-1</t>
  </si>
  <si>
    <t>AYUNTAMIENTO MUNICIPAL SANTO DOMINGO NORTE</t>
  </si>
  <si>
    <t xml:space="preserve">PAGO A FACTURA 0067673 POR CONCEPTO  DE RECOLECCION DE RESIDUOS SOLIDOS CORRESPONDINTE AL MES DE ABRIL </t>
  </si>
  <si>
    <t>DEPOSITO NO IDENTIFICADO AL 31 DE MARZO 2022</t>
  </si>
  <si>
    <t>972-1</t>
  </si>
  <si>
    <t>PAGO A FACTURA 18609,18685,18534,18772,18961,Y 19309DE MEDICAMENTOS.</t>
  </si>
  <si>
    <t>1112-1</t>
  </si>
  <si>
    <t>20/04/22</t>
  </si>
  <si>
    <t>1132-1</t>
  </si>
  <si>
    <t>PAGO A FACTURA 87,86,91,81,82,83 CONCEPTO DE PRODUCTOS VARIOS</t>
  </si>
  <si>
    <t>1136-1</t>
  </si>
  <si>
    <t>GLOBAL MULTI-PHARMA DOMINICANA THM,S.R.L</t>
  </si>
  <si>
    <t>PAGO A FACTURA 414 COMPRA DE INSUMOS MEDICOS.</t>
  </si>
  <si>
    <t>1138-1</t>
  </si>
  <si>
    <t>AGUA PLANETA AZUL</t>
  </si>
  <si>
    <t>PAGO A FACTURA 1421,0163,1412,1415,1430,0166,1635,1424,1632,7684,0152,7671,7679,7675,7681,7666,59564,0155,0158 COMPRA DE BOTELLONES DE AGUA</t>
  </si>
  <si>
    <t>1152-1</t>
  </si>
  <si>
    <t>HOSPIFAR,S.R.L</t>
  </si>
  <si>
    <t>18/04/2022</t>
  </si>
  <si>
    <t>25/04/22</t>
  </si>
  <si>
    <t>1169-1</t>
  </si>
  <si>
    <t>HAUSPITAL,SRL</t>
  </si>
  <si>
    <t>PAGO A FACTURA NO. 298 COMPRA DE INSUMOS MEDICOS.</t>
  </si>
  <si>
    <t>25/4/22</t>
  </si>
  <si>
    <t>1165-1</t>
  </si>
  <si>
    <t>CLARO</t>
  </si>
  <si>
    <t>PAGO A FACTURA NO. 107 Y 109 TELEFONO LOCAL, FLOTAS Y LARGA DISTANCIA , SERVICIOS DE INTERNET.</t>
  </si>
  <si>
    <t>1173-1</t>
  </si>
  <si>
    <t>SUPLIMED,SRL</t>
  </si>
  <si>
    <t>PAGO A FACTURA 3207,3114,3104,3213,3215 COMPRA DE INSTRUMENTOS MEDICOS.</t>
  </si>
  <si>
    <t>1182-1</t>
  </si>
  <si>
    <t>E. THREANS,SRL</t>
  </si>
  <si>
    <t>PAGO A FACTURA NO.197 Y 198 SERVICIO TECNICO DE REINSTALACION DE SOFTWARE Y RELOJ PONCHADOR</t>
  </si>
  <si>
    <t>1186-1</t>
  </si>
  <si>
    <t>GTG INDUSTRIAL,SRL</t>
  </si>
  <si>
    <t>PAGO DE FACTURA NO.4405 Y 4432 COMPRA DE PRODUCTO DE PAPAEL</t>
  </si>
  <si>
    <t>1190-1</t>
  </si>
  <si>
    <t>PROFICARE INSUMOS MEDICOS</t>
  </si>
  <si>
    <t>PAGO A FACTURA NO. 030,031,101, Y 102 COMPRA DE UTILES MEDICOS Y MEDICAMENTOS.</t>
  </si>
  <si>
    <t>1194-1</t>
  </si>
  <si>
    <t xml:space="preserve">PAGO A FACTURA 20277,20315,19984,Y 20327 COMPRA DE MEDICAMENTOS </t>
  </si>
  <si>
    <t>1199-1</t>
  </si>
  <si>
    <t>PEREZ BORROSO</t>
  </si>
  <si>
    <t>PAGO A FACTURA 2000721,Y 20009644 COMPRA DE MEDICAMENTOS Y PRODUCTOS QUIMICOS.</t>
  </si>
  <si>
    <t>1203-41</t>
  </si>
  <si>
    <t>EPX DOMINICANA</t>
  </si>
  <si>
    <t>PAGO A FACTURA NO.497 COMPRA DE INSUMOS MEDICOS.</t>
  </si>
  <si>
    <t>1207-1</t>
  </si>
  <si>
    <t>FLORISTERIA CALIZ FLOR</t>
  </si>
  <si>
    <t>PAGO A FACTURAS NO. 416 Y 457 COMPRAS DE CORONAS FUNEBRES.</t>
  </si>
  <si>
    <t>1211-1</t>
  </si>
  <si>
    <t>FRIFARMA</t>
  </si>
  <si>
    <t>PAGO A FACTURA NO. 4781 Y 4901 COMPRA DE MEDICAMENTOS.</t>
  </si>
  <si>
    <t>1215-1</t>
  </si>
  <si>
    <t xml:space="preserve">FRIFARMA </t>
  </si>
  <si>
    <t>PAGO A FACTURA NO 5059 COMPRA DE MEDICAMENTOS.</t>
  </si>
  <si>
    <t>1219-1</t>
  </si>
  <si>
    <t>PAGO A FACTURA NO. SD00483072 Y SD004836077, COMPRA DE MEDICAMENTOS.</t>
  </si>
  <si>
    <t>1223-1</t>
  </si>
  <si>
    <t>PAGO A FACTURA NO. 1004012878,1004093616 Y 1004061886, COMPRA DE GAS LICUADO.</t>
  </si>
  <si>
    <t>1234-1</t>
  </si>
  <si>
    <t>2T IMPORTACIONES,SRL</t>
  </si>
  <si>
    <t>1238-1</t>
  </si>
  <si>
    <t>VAL- KAMED,SRL</t>
  </si>
  <si>
    <t>MALLEN</t>
  </si>
  <si>
    <t>19/04/2022</t>
  </si>
  <si>
    <t>ARS HUMANO</t>
  </si>
  <si>
    <t>20/04/2022</t>
  </si>
  <si>
    <t>21/04/2022</t>
  </si>
  <si>
    <t>21/4/2022</t>
  </si>
  <si>
    <t>26/04/2022</t>
  </si>
  <si>
    <t>27/04/2022</t>
  </si>
  <si>
    <t>28/04/2022</t>
  </si>
  <si>
    <t>24/04/2022</t>
  </si>
  <si>
    <t>PAGO A FACTURA 2270,2167,2123,2134,2124,Y 2203,2270 Y 2167,COMPRA DE INSUMOS MEDICOS.</t>
  </si>
  <si>
    <t>PAGO A FACT 4553,5081 Y SALDO A FACT 4523,POR LA COMPRA DE MEDICAMENTO</t>
  </si>
  <si>
    <t>PAGO A FACTURA 39718,37090,33614,385507,38645,COMPRA DE OXIGENO Y AIRE COMPRIMIDO</t>
  </si>
  <si>
    <t>PAGO A FACTURA FT.358,-COMPRA DE INSUMOS MEDICOS.</t>
  </si>
  <si>
    <t>PAGO A FACT .165,SERVICIOS TECNICOS PROFESIONALES.</t>
  </si>
  <si>
    <t>1114-1</t>
  </si>
  <si>
    <t>PAGO  NOMINA CARACTER TEMPORAL ABRIL 2022.</t>
  </si>
  <si>
    <t xml:space="preserve"> PAGO NOMINA  PRINCIPAL CORRESPONDIENTE  AL MES DE ABRIL 2022.</t>
  </si>
  <si>
    <t>NOMINA POR TESORERIA CORRESPONDIENTE AL MES DE ABRIL 2022</t>
  </si>
  <si>
    <t>PAGO RETENCION IMPUESTO SOBRE SALARIO  CORRESPONDIENTE A ABRIL 2022. (IR-3).</t>
  </si>
  <si>
    <t>PAGO RETENCION SEGURIDAD SOCIAL ABRIL  2022</t>
  </si>
  <si>
    <t>1116-1</t>
  </si>
  <si>
    <t>PAGO DE NOMINA CARACTER TEMPORAL ABRIL,2022.</t>
  </si>
  <si>
    <t>1118-1</t>
  </si>
  <si>
    <t>PAGO DE NOMINA COMPENSACION MILITAR</t>
  </si>
  <si>
    <t>1120-1</t>
  </si>
  <si>
    <t>PAGO DE NOMINA CARACTER EVENTUAL</t>
  </si>
  <si>
    <t xml:space="preserve">PAGO A FACT.10069196,COMPRA DE INSUMOS MEDICOS </t>
  </si>
  <si>
    <t>PAGO A FACT 5988,6011, Y 6070, COMPRA DE UTILES MEDICOS Y MEDICAMENTOS</t>
  </si>
  <si>
    <t xml:space="preserve">PAGO A FACT,203967, COMPRA DE INSUMOS MEDICOS </t>
  </si>
  <si>
    <t>PAGO  A FACTURA NO.001-1042298,COMPRA DE MEDICAMENTOS.</t>
  </si>
  <si>
    <t>PAGO A FACTURA 299,303,Y 308 COMPRA DE PRODUCTOS VARIOS .</t>
  </si>
  <si>
    <t>29/04/2022</t>
  </si>
  <si>
    <t>ULTRALAB,SRL</t>
  </si>
  <si>
    <t>PAGO A FACT.33170,33749,32978,33356 Y 33748, COMPRA DE REACTIVOS.</t>
  </si>
  <si>
    <t>PROMESE</t>
  </si>
  <si>
    <t xml:space="preserve">PAGO A FACT.10097576, COMPRA DE INSUMOS Y MEDICAMENTO </t>
  </si>
  <si>
    <t xml:space="preserve">PAGO A FACT.475954, COMPRA DE INSUMOS Y MEDICAMENTOS </t>
  </si>
  <si>
    <t>FARACH SA</t>
  </si>
  <si>
    <t>PAGO A FACT.666838,670733,670343,671672670024,663621 Y 672413, COMPRA DE UTILES MEDICOS Y MEDICAMENTOS.</t>
  </si>
  <si>
    <t>SUED &amp; FARGESA,SRL</t>
  </si>
  <si>
    <t>PAGO A FACT.392209 Y 390579,POR LA COMPRA DE MEDICAMENTOS.</t>
  </si>
  <si>
    <t>30/04/2022</t>
  </si>
  <si>
    <t>PRO PHARMACEUTICAL peña,SRL</t>
  </si>
  <si>
    <t>PAGO A FACT.1524 Y 1519, COMPRA DE INSUMOS MEDICAMENTOS.</t>
  </si>
  <si>
    <t>PAGO A FACT.20062, COMPRA DE MEDICAMENTOS</t>
  </si>
  <si>
    <t>ZOEC CIVIL,SRL</t>
  </si>
  <si>
    <t>PAGO A FACT,19 Y 20, COMPRA DE TELA, HILO E INSUMOS DE COSTURA.</t>
  </si>
  <si>
    <t xml:space="preserve">AMIPHARMA DOMINICANA,SRL </t>
  </si>
  <si>
    <t>PAGO FACT.015575, COMPRA DE MEDICAMENTOS</t>
  </si>
  <si>
    <t>DENTAL &amp; MEDICAL DEPOT,SRL</t>
  </si>
  <si>
    <t xml:space="preserve">PAGO FACT.3-2500,COMPRA DE PRODUCTOS QUIMICOS </t>
  </si>
  <si>
    <t xml:space="preserve">ANEST,SRL </t>
  </si>
  <si>
    <t>PAGO A FACT.8493, COMPRA DE MEDICAMENTOS.</t>
  </si>
  <si>
    <t>PAT &amp; MELL PHARMACEUTICAL S,A</t>
  </si>
  <si>
    <t>PAGO A FACT.41117, COMPRA DE INSUMOS MEDICOS.</t>
  </si>
  <si>
    <t>LSEA COMERCIAL,EIRL.</t>
  </si>
  <si>
    <t>PAGO A FACT19,20 Y 22, MANTENIMIENTO Y REPARACION DE CALDERAS</t>
  </si>
  <si>
    <t>1305-1</t>
  </si>
  <si>
    <t>1310-1</t>
  </si>
  <si>
    <t>PAGO FACT.20078 Y 20328, COMPRA DE MEDICAMENTOS.</t>
  </si>
  <si>
    <t>1318-1</t>
  </si>
  <si>
    <t>UNIVERSUM SERVICIOS MULTIPLES,SRL</t>
  </si>
  <si>
    <t>PAGO A FAC.11 Y 12, COMPRA DE INSUMOS DE ENSEÑANZAS Y OFICINA.</t>
  </si>
  <si>
    <t>1323-1</t>
  </si>
  <si>
    <t>MAXBIO PHARMA,SRL</t>
  </si>
  <si>
    <t>PAGO A FACT .74 Y 96, COMPRA DE MEDICAMENTOS.</t>
  </si>
  <si>
    <t>1327-1</t>
  </si>
  <si>
    <t>MORAMI,SRL</t>
  </si>
  <si>
    <t>PAGO A FACT.3800,3801 Y 3754, COMPRA DE MEDICAMENTOS E INSUMOS MEDICOS.</t>
  </si>
  <si>
    <t>1332-1</t>
  </si>
  <si>
    <t>GAROSS PHARMA,SRL</t>
  </si>
  <si>
    <t>PAGO A FACT.2197,2206,2210,2200,2217, COMPRA DE REACTIVOS E INSUMOS MEDICOS.</t>
  </si>
  <si>
    <t>1256-1</t>
  </si>
  <si>
    <t>1260-1</t>
  </si>
  <si>
    <t>1264-1</t>
  </si>
  <si>
    <t>1270-1</t>
  </si>
  <si>
    <t>1274-1</t>
  </si>
  <si>
    <t>1278-1</t>
  </si>
  <si>
    <t>1282-1</t>
  </si>
  <si>
    <t>1288-1</t>
  </si>
  <si>
    <t>1292-1</t>
  </si>
  <si>
    <t>1296-1</t>
  </si>
  <si>
    <t>1300-1</t>
  </si>
  <si>
    <t>1314-1</t>
  </si>
  <si>
    <t xml:space="preserve">ARS SENASA SUBSISIADO </t>
  </si>
  <si>
    <t xml:space="preserve">ARS SENASA CONTRIBUTIVO </t>
  </si>
  <si>
    <t>PAGO DE RENTA DE CAFETERIA</t>
  </si>
  <si>
    <t>ARS ASEMAP</t>
  </si>
  <si>
    <t>DENYS VANESA MUÑOZ PACHECO</t>
  </si>
  <si>
    <t>1362-1</t>
  </si>
  <si>
    <t>ALIANZA INNOVADORA DE SERVICIOS AMBIENTALES,SRL</t>
  </si>
  <si>
    <t>PAGO A FACTURA NO. 233,350 Y 426 SERVICIOS DE ESTERELIZACION Y DISPOSICION FINAL CORRESPONDIENTE A ENERO,FEBRERO Y MARZO</t>
  </si>
  <si>
    <t>1365-1</t>
  </si>
  <si>
    <t>TONER DEPOT INTERNACIONAL</t>
  </si>
  <si>
    <t>PAGO A FACTURA 41022 Y 41566 SERVICIOS DE IMPRESIONES CORRESPONDIENTES AL PERIODO 25 DE FEBRERO AL 23 MARZO</t>
  </si>
  <si>
    <t>1367-1</t>
  </si>
  <si>
    <t xml:space="preserve">PAGO A FACTURA NO. 1004012878,1004022388,1004093616,Y 1004061866 COMPRA DE GAS LICUADO </t>
  </si>
  <si>
    <t>1375-1</t>
  </si>
  <si>
    <t xml:space="preserve">CRISTALIA </t>
  </si>
  <si>
    <t xml:space="preserve">PAGO A FACTURA 28914 COMPRA DE MEDICAMENTOS </t>
  </si>
  <si>
    <t>1371-1</t>
  </si>
  <si>
    <t>R &amp; R MANTENIMIENTO,SRL</t>
  </si>
  <si>
    <t>PAGO A FACTURA 309,332,33 Y 334 COMPRA DE PRODUCTOS VARIOS.</t>
  </si>
  <si>
    <t>1379-1</t>
  </si>
  <si>
    <t xml:space="preserve">PAGO A FACTURA NO. 158 COMPRA DE REACTIVOS </t>
  </si>
  <si>
    <t>1383-1</t>
  </si>
  <si>
    <t>IMPRESOS C &amp; M,SRL</t>
  </si>
  <si>
    <t>PAGO A FACTURA 172 COMPRA DE VARIOS IMPRESOS</t>
  </si>
  <si>
    <t>1388-1</t>
  </si>
  <si>
    <t>LABIN DOMINICANA,SRL</t>
  </si>
  <si>
    <t>PAGO A FACTURA NO. 177 COMPRA DE INSUMOS MEDICOS</t>
  </si>
  <si>
    <t>1395-1</t>
  </si>
  <si>
    <t>ALTICE DOMINICANA,S.A</t>
  </si>
  <si>
    <t>PAGO A SERVIVIOS DE INTERNET  PARA AREA DE CONTRALORIA Y SERVICIOS DE TELEVISION POR CABLE PARA DIFERENTES AREAS DEL HOSPITAL</t>
  </si>
  <si>
    <t>1399-1</t>
  </si>
  <si>
    <t>CORPORACION Y ALCANTARILLADO DE SANTO DOMINGO</t>
  </si>
  <si>
    <t>PAGO A FACTURA NO.93630610 SERVICIOS DE AGUA MAYO 2022</t>
  </si>
  <si>
    <t>1414-1</t>
  </si>
  <si>
    <t>DOMINICAN HOSPITALITY SUPPLY,SRL</t>
  </si>
  <si>
    <t>PAGO A FACTURA NO. 330,331,334,335,338,339,340,341,342,343 Y 344 COMPRA DE ALIMENTOS Y MATERIALES DESECHABLE</t>
  </si>
  <si>
    <t>1419-1</t>
  </si>
  <si>
    <t>INGBSES (INGENIERIA BIOMEDICA AL SECTOR SALUD,SRL)</t>
  </si>
  <si>
    <t>PAGO A FACTURA 36,35,33,32,31 SERVICIOS DE MANTENIMIENTOS Y REPARACION DE EQUIPOS MEDICOS</t>
  </si>
  <si>
    <t>1423-1</t>
  </si>
  <si>
    <t xml:space="preserve">PAGO A FACTURA 06 Y 07 COMPRA DE UTILES DE COCINA Y FUNDAS PLASTICAS </t>
  </si>
  <si>
    <t>1428-1</t>
  </si>
  <si>
    <t>L &amp; C SUPPLY,SRL</t>
  </si>
  <si>
    <t>PAGO A FACTURA NO. 147 COMPRA DE INSUMOS DE INFORMATICA Y EQUIPOS.</t>
  </si>
  <si>
    <t>1440-1</t>
  </si>
  <si>
    <t>BIO-NOVA,SRL</t>
  </si>
  <si>
    <t>PAGO A FACTURA NO. 28018,27097,27107,27785,27781,27786,28015,28014 Y T0000923 COMPRA DE INSUMOS</t>
  </si>
  <si>
    <t>1444-1</t>
  </si>
  <si>
    <t>CRISNALIZ ALL SUPPLY,SRL</t>
  </si>
  <si>
    <t>PAGO A FACTURA NO.14,15, Y 16 COMPRA DE PRODUCTO DE CARTON</t>
  </si>
  <si>
    <t>1451-1</t>
  </si>
  <si>
    <t>BAUCOMER,SRL</t>
  </si>
  <si>
    <t>PAGO A FACTURA NO. 168 Y 173 COMPRA DE MEDICAMENTOS E INSUMOS</t>
  </si>
  <si>
    <t>1455-1</t>
  </si>
  <si>
    <t>PAGO A FACTURA 624 Y 640 COMPRA DE FUNDAS.</t>
  </si>
  <si>
    <t>1472-1</t>
  </si>
  <si>
    <t>DISTRIBUIDORES INTERNACIONALES DE PETROLEO,S.A</t>
  </si>
  <si>
    <t>PAGO A FACTURA 01207319 COMPRA DE COMBUSTIBLE INSTITUCIONAL</t>
  </si>
  <si>
    <t>30/4/2022</t>
  </si>
  <si>
    <t>DEPOSITOS NO IDENTIFICADOS AL 30 DE ABRIL</t>
  </si>
  <si>
    <t xml:space="preserve">                              SUBDIRECTOR ADMINISTRATIVO Y FINANCIERO</t>
  </si>
  <si>
    <t xml:space="preserve">                    AUTORIZADO POR</t>
  </si>
  <si>
    <t>23/05/2022</t>
  </si>
  <si>
    <t>CARGOS POR SERVICIO DE MANEJO DE CUENTA</t>
  </si>
  <si>
    <t>945-1</t>
  </si>
  <si>
    <t>ILUTEC, S.R.L,</t>
  </si>
  <si>
    <t>PAGO A FACYURA N0. 042724 Y 044419, SERVICIO DE MANTENIMIENTO Y LICENCIA SINERGIA SOFTWARE CORRESPONDIENTE AL TRIMESTRE ENERO/ MARZO  2022.</t>
  </si>
  <si>
    <t>961-1</t>
  </si>
  <si>
    <t>MORAMI, S.R.L.</t>
  </si>
  <si>
    <t>PAGO A FACTURA N0. 1-3218, 1-3707, 1-3708, COMPRA DE MEDICAMENTO E INSUMOS.</t>
  </si>
  <si>
    <t>976-1</t>
  </si>
  <si>
    <t>PAGO A FACTURA N0. 0067673 POR CONCEPTO DE RECOLECCION DE RESIDUOS SOLIDOS CORRESPONDIENTE AL MES DE ABRIL 2022.</t>
  </si>
  <si>
    <t>980-1</t>
  </si>
  <si>
    <t>DIRECCION GENERAL DE IMPUESTOS INTERNOS</t>
  </si>
  <si>
    <t>PAGO RETENCION DE IMPUESTOS A PROVEEDORES DELESTADO Y A PROFESIONALES INDEPENDIENTES (IR-17) CORRESPONDIENTE AL MES DE MARZO 2022.</t>
  </si>
  <si>
    <t>984-1</t>
  </si>
  <si>
    <t>PAGO RETENCION 30% MES DE MARZO 2022.</t>
  </si>
  <si>
    <t>990-1</t>
  </si>
  <si>
    <t>PAGO A FACTURA N0. 162, 165 Y 171, COMPRA DE VARIOS IMPRESOS.</t>
  </si>
  <si>
    <t>1026-1</t>
  </si>
  <si>
    <t>CAASD</t>
  </si>
  <si>
    <t>PAGO A FACTURA N0. 93429696, PAGO DE SERVICIO DE AGUA CORRESPONDIENTE AL MES DE ABRIL 2022.</t>
  </si>
  <si>
    <t>1033-1</t>
  </si>
  <si>
    <t>PAGO SERVICIOS DE INTERNET PARA AREA DE CONTABILIDAD Y SERVICIOS DE TELEVISION POR CABLE PARA DIFERENTES AREAS CORRESPONDIENTE AL MES DE ABRIL 2022 FACTURA N0. CC202204101005974819.</t>
  </si>
  <si>
    <t>ARS  MONUMENTAL</t>
  </si>
  <si>
    <t>13/05/2022</t>
  </si>
  <si>
    <t>13/05/2023</t>
  </si>
  <si>
    <t>13/05/2024</t>
  </si>
  <si>
    <t>13/05/2025</t>
  </si>
  <si>
    <t>13/05/2026</t>
  </si>
  <si>
    <t>16/05/2022</t>
  </si>
  <si>
    <t>17/05/2022</t>
  </si>
  <si>
    <t>18/05/2022</t>
  </si>
  <si>
    <t>19/05/2022</t>
  </si>
  <si>
    <t>PRIMERA ARS</t>
  </si>
  <si>
    <t>ARS HUMANOS SEGUROS</t>
  </si>
  <si>
    <t>ALQUILER CAFETERIA</t>
  </si>
  <si>
    <t>20/05/2022</t>
  </si>
  <si>
    <t>24/05/2022</t>
  </si>
  <si>
    <t>REPOSICION DE CAJA AL 18/05/2022, SEGUN COMPROBANTES DE DESEMBOLSOS N0. 2266 AL 2299.</t>
  </si>
  <si>
    <t>LINDA MARIA VALDEZ RIVERA</t>
  </si>
  <si>
    <t>DEVOLUCION A PACIENTE POR ABONO EN HABITACION PRIVADA.</t>
  </si>
  <si>
    <t>GREIDY MONTES DE OCOA NOVAS</t>
  </si>
  <si>
    <t>SANTO DOMINGO MOTOE COMPANY, S.A.</t>
  </si>
  <si>
    <t>SERVICIO DE MANTENIMIENTO GENERAL, CAMIONETA NISSAN FRONTIER NP300SL.</t>
  </si>
  <si>
    <t>GUILLERMINA EVENEZER RODRIGUEZ RODRIGUEZ</t>
  </si>
  <si>
    <t>1430-1</t>
  </si>
  <si>
    <t>1433-1</t>
  </si>
  <si>
    <t>PAGO  NOMINA CARACTER TEMPORAL MAYO 2022.</t>
  </si>
  <si>
    <t>1459-1</t>
  </si>
  <si>
    <t>1460-1</t>
  </si>
  <si>
    <t>PAGO  NOMINA CARACTER TEMPORAL  MAYO 2022.</t>
  </si>
  <si>
    <t xml:space="preserve"> PAGO NOMINA  PRINCIPAL CORRESPONDIENTE  AL MES DE MAYO 2022.</t>
  </si>
  <si>
    <t>NOMINA POR TESORERIA CORRESPONDIENTE AL MES DE MAYO 2022</t>
  </si>
  <si>
    <t>PAGO RETENCION IMPUESTO SOBRE SALARIO  CORRESPONDIENTE A MAYO 2022. (IR-3).</t>
  </si>
  <si>
    <t>PAGO RETENCION SEGURIDAD SOCIAL MAYO 2022</t>
  </si>
  <si>
    <t>1486-1</t>
  </si>
  <si>
    <t>PAGO A FACTURA N0. 8255,  8256 Y 8264, COMPRA DE REACTIVOS.</t>
  </si>
  <si>
    <t>1499-1</t>
  </si>
  <si>
    <t>ALMACENES NACIONAL FOREVER, S.R.L.</t>
  </si>
  <si>
    <t>PAGO A FACTURA N0. 01 COMPRA DE CAJAS DE CARTON.</t>
  </si>
  <si>
    <t>25/05/2022</t>
  </si>
  <si>
    <t>1511-1</t>
  </si>
  <si>
    <t>EL LIBRAMIENTO N0. 1472-1 FUE ANULADO EN ESTA FECHA.</t>
  </si>
  <si>
    <t>1515-1</t>
  </si>
  <si>
    <t>IMD MEDIC INTER, S.R.L.</t>
  </si>
  <si>
    <t>PAGO A FACTURA N0. 121 Y 120, COMPRA DE MATERIAL GASTABLE.</t>
  </si>
  <si>
    <t>1519-1</t>
  </si>
  <si>
    <t>PAGO AFACTURA N0. 108 Y 110, TELEFONO LOCAL, FLOTAS Y LARGA DISTANCIA, SERVICIO DE INTERNET CORRESPODIENTE AL MES DE MAYO 2022.</t>
  </si>
  <si>
    <t>1522-1</t>
  </si>
  <si>
    <t>FARMACO INTERNACIONAL, S.R.L.</t>
  </si>
  <si>
    <t>PAGO A FACTURA N0. 573,574,576,577,586,575 Y 587, COMPRA DE INSMUMOS Y PRODUCTOS Y PRODUCTOS QUIMICOS.</t>
  </si>
  <si>
    <t>1526-1</t>
  </si>
  <si>
    <t>PAGO A FACTURA N0. 204047,204088,204092 Y 204093, COMPRA DE INSUMO MEDICOS.</t>
  </si>
  <si>
    <t>DELTA COMERCIAL</t>
  </si>
  <si>
    <t>MANTENIMIENTO VEHICULO INSTITUCIONAL</t>
  </si>
  <si>
    <t>27/05/2022</t>
  </si>
  <si>
    <t>HOSPITAL PEDIATRICO DR. HUGO MENDEZA</t>
  </si>
  <si>
    <t>PAGO DE ESTUDIO REALIZADOS A PACIENTE DEL HOSPITAL METERNO DR. REYNALDO ALMANZAR .</t>
  </si>
  <si>
    <t>1532-1</t>
  </si>
  <si>
    <t>1536-1</t>
  </si>
  <si>
    <t>1540-1</t>
  </si>
  <si>
    <t>26/05/2022</t>
  </si>
  <si>
    <t>PAGO A FACTURA N0. 42578, SERVICIOS DE IMPRESIONES CORRESPONDIENTE A LOS PERIODOS DESDE EL 23 DE MARZO AL 27 DE ABRIL .</t>
  </si>
  <si>
    <t>PAGO A FACTURA N0. 2369, COMPRA DE MEDICAMENTOS.</t>
  </si>
  <si>
    <t>PAGO A FACTURA N0.582 Y 596 COMPRA DE MEDICAMENTOS.</t>
  </si>
  <si>
    <t>1547-1</t>
  </si>
  <si>
    <t>GROUP Z HEALTHCARE PRODUCTS DOMINICANA, S.R.L.</t>
  </si>
  <si>
    <t>PAGO A FACTURA N0. 005114, 005140,005189,005188, COMPRA DE UTILES MEDICOS.</t>
  </si>
  <si>
    <t>1551-1</t>
  </si>
  <si>
    <t>EXPRESS SERVICE CONSERG EXSERCON, S.R.L.</t>
  </si>
  <si>
    <t>PAGO A FACTURA N0. 98, 602,617,632 Y 636, COMPRA DE MEDICAMENTOS.</t>
  </si>
  <si>
    <t>1560-1</t>
  </si>
  <si>
    <t>PAGO A FACTURA N0. 115, 116 Y 117, COMPRA DE CABINAS Y ARTES GRAFICAS.</t>
  </si>
  <si>
    <t>DRUCKER, S.R.L.</t>
  </si>
  <si>
    <t>1564-1</t>
  </si>
  <si>
    <t>ROPHARMA, S.R.L.</t>
  </si>
  <si>
    <t>PAGO A FACTURA N0. 285, 287, 290, 313 Y 321, COMPRA DE MEDICAMENTOS.</t>
  </si>
  <si>
    <t>1568-1</t>
  </si>
  <si>
    <t>ANEST, S.R.L.</t>
  </si>
  <si>
    <t>PAGO A FACTURA N0. 8468, 8506, 8507, 8535 Y 8579, COMPRA DE MEDICAMENTOS E INSUMOS.</t>
  </si>
  <si>
    <t>1572-1</t>
  </si>
  <si>
    <t>MAXBIO PHRAMA, S.R.L.</t>
  </si>
  <si>
    <t>PAGO A FACTURA N0. 105, COMPRA DE MEDICAMENTOS.</t>
  </si>
  <si>
    <t>PRO PHARMACEUTICAL PEñA, S.R.L.</t>
  </si>
  <si>
    <t>PAGO A FACTURA N0. 496, 507, 508 Y 511, COMPRA DE MEDICAMENTOS E INSUMOS MEDICOS.</t>
  </si>
  <si>
    <t>1576-1</t>
  </si>
  <si>
    <t>1582-1</t>
  </si>
  <si>
    <t>SUPLIMED, S.R.L.</t>
  </si>
  <si>
    <t>PAGO A FACTURA N0. 3286, COMPRA DE INSTRUMENTAL MEDICO.</t>
  </si>
  <si>
    <t>LAMBDA DIAGNOSTICOS, S.R.L.</t>
  </si>
  <si>
    <t>PAGO A FACTURA N0. 1002, 1029 Y 1047, COMPRA DE PRODUCTOS QUIMICOS.</t>
  </si>
  <si>
    <t xml:space="preserve">DEPOSITOS NO IDENTIFICADOS AL 30 DE ABRIL </t>
  </si>
  <si>
    <t>EL CHEQUE N0. 258 DE FECHA 13/09/2013 FUE REINTEGRADO.</t>
  </si>
  <si>
    <t>EL CHEQUE N0. 1476 DE FECHA 06/12/2016 FUE REINTEGRADO.</t>
  </si>
  <si>
    <t>EL CHEQUE N0. 1724 DE FECHA 19/07/2017 FUE REINTEGRADO.</t>
  </si>
  <si>
    <t>EL CHEQUE N0. 1935 DE FECHA 07/12/2017 FUE REINTEGRADO.</t>
  </si>
  <si>
    <t>EL CHEQUE N0. 1938 DE FECHA 07/12/2017 FUE REINTEGRADO.</t>
  </si>
  <si>
    <t>EL CHEQUE N0. 2014 DE FECHA 07/03/2018 FUE REINTEGRADO.</t>
  </si>
  <si>
    <t>EL CHEQUE N0. 2116 DE FECHA 04/06/2018 FUE REINTEGRADO.</t>
  </si>
  <si>
    <t>EL CHEQUE N0. 2244 DE FECHA 20/02/2019 FUE REINTEGRADO.</t>
  </si>
  <si>
    <t>28/05/2022</t>
  </si>
  <si>
    <t>REINTEGRACION</t>
  </si>
  <si>
    <t>EL CHEQUE N0. 650 DE FECHA 09/29/2015 FUE REINTEGRADO.</t>
  </si>
  <si>
    <t>EL CHEQUE N0. 1209 DE FECHA 22/12/2015 FUE REINTEGRADO.</t>
  </si>
  <si>
    <t>EL CHEQUE N0. 1650 DE FECHA 18/08/2016 FUE REINTEGRADO.</t>
  </si>
  <si>
    <t>EL CHEQUE N0. 1652 DE FECHA 18/08/2016 FUE REINTEGRADO.</t>
  </si>
  <si>
    <t>EL CHEQUE N0. 1670 DE FECHA 13/09/2016 FUE REINTEGRADO.</t>
  </si>
  <si>
    <t>EL CHEQUE N0. 2455 DE FECHA 14/09/2017 FUE REINTEGRADO.</t>
  </si>
  <si>
    <t>EL CHEQUE N0. 2258 DE FECHA 26/06/2016 FUE REINTEGRADO.</t>
  </si>
  <si>
    <t>EL CHEQUE N0. 2457 DE FECHA 14/09/2017 FUE REINTEGRADO.</t>
  </si>
  <si>
    <t>EL CHEQUE N0. 2634 DE FECHA 22/11/2017 FUE REINTEGRADO.</t>
  </si>
  <si>
    <t>EL CHEQUE N0. 2635 DE FECHA 22/11/2017 FUE REINTEGRADO.</t>
  </si>
  <si>
    <t>EL CHEQUE N0.2646  DE FECHA 04/12/2017 FUE REINTEGRADO.</t>
  </si>
  <si>
    <t>EL CHEQUE N0.  2798 DE FECHA 07/02/2018FUE REINTEGRADO.</t>
  </si>
  <si>
    <t>EL CHEQUE N0. 3077 DE FECHA 14/05/2018 FUE REINTEGRADO.</t>
  </si>
  <si>
    <t>EL CHEQUE N0.  3158 DE FECHA 18/07/2018 FUE REINTEGRADO.</t>
  </si>
  <si>
    <t>EL CHEQUE N0. 3160 DE FECHA 30/07/2018 FUE REINTEGRADO.</t>
  </si>
  <si>
    <t>EL CHEQUE N0. 3201 DE FECHA 11/09/2018 FUE REINTEGRADO.</t>
  </si>
  <si>
    <t>EL CHEQUE N0.  3293 DE FECHA 09/06/2019 REINTEGRADO.</t>
  </si>
  <si>
    <t>EL CHEQUE N0.  3320 DE FECHA23/12/2019 FUE REINTEGRADO.</t>
  </si>
  <si>
    <t>EL CHEQUE N0. 3427 DE FECHA FUE REINTEGRADO.</t>
  </si>
  <si>
    <t>EL CHEQUE N0. 3334 DE FECHA 03/10/2020 FUE REINTEGRADO.</t>
  </si>
  <si>
    <t>EL CHEQUE N0. 3336 DE FECHA 03/10/2020 FUE REINTEGRADO.</t>
  </si>
  <si>
    <t>EL CHEQUE N0. 3370 DE FECHA 07/01/2020 FUE REINTEGRADO.</t>
  </si>
  <si>
    <t>EL CHEQUE N0.  3380 DE FECHA 30/07/2020 FUE REINTEGRADO.</t>
  </si>
  <si>
    <t>EL CHEQUE N0. 3388 DE FECHA 27/08/2020 FUE REINTEGRADO.</t>
  </si>
  <si>
    <t>EL CHEQUE N0. 3391 DE FECHA 09/09/2020 FUE REINTEGRADO.</t>
  </si>
  <si>
    <t>EL CHEQUE N0. 3430  DE FECHA 17/09/2021 FUE REINTEGRADO.</t>
  </si>
  <si>
    <t>30/05/2022</t>
  </si>
  <si>
    <t>31/05/2022</t>
  </si>
  <si>
    <t>1586-1</t>
  </si>
  <si>
    <t>1590-1</t>
  </si>
  <si>
    <t>PAGO A FACTURAS N0. 3822, 3822, 3838,3861, 3262 Y 3903, COMPRA DE MEDICAMENTOS E INSUMOS.</t>
  </si>
  <si>
    <t>1594-1</t>
  </si>
  <si>
    <t>PHARMACEUTICAL TECNOLOGY,S.A.</t>
  </si>
  <si>
    <t>PAGO A FACTURA N0. 489881, 493613 Y 489915, COMPRA DE MEDICAMENTOS MEDICOS.</t>
  </si>
  <si>
    <t>1607-1</t>
  </si>
  <si>
    <t>1598-1</t>
  </si>
  <si>
    <t>ROSSY YOMEIDY DE DIOS</t>
  </si>
  <si>
    <t>PAGO A FACTURA N0. 65,66,67,68,69 Y 70COMPRA DE ALIMENTOS.</t>
  </si>
  <si>
    <t>PAGO A FACTURA N0. 18, 19 Y 20, COMPRA DE PRODUCTOS DE PAPEL Y CARTON.</t>
  </si>
  <si>
    <t>1612-1</t>
  </si>
  <si>
    <t>PAGO A FACTURA N0. 313,348,353,355 Y 356, COMPRA DE ALIEMNTOS Y MATERIALES DE DESECHABLES.</t>
  </si>
  <si>
    <t>1617-1</t>
  </si>
  <si>
    <t>SEAN DOMINICANA, S.R.L.</t>
  </si>
  <si>
    <t>PAGO A FACTURA N0. 20459,20740,20810,20881,20971 Y 21008, COMPRA DE MEDICAMENTOS Y UTILES MEDICOS.</t>
  </si>
  <si>
    <t>1621-1</t>
  </si>
  <si>
    <t>INGENERIA BIOMEDICA AL SECTOR SALUD, INGBSES, S.R.L.</t>
  </si>
  <si>
    <t>PAGO A FACTURA N0. 37,38 Y 40, SERVICIO DE MANTENIMIENTO Y REPARACION DE EQUIPO MEDICO.</t>
  </si>
  <si>
    <t>1625-1</t>
  </si>
  <si>
    <t>RECLEAR IMPORT, S.R.L.</t>
  </si>
  <si>
    <t>PAGO A FACTURA N0. 07 Y 12, MANTENIMIENTO Y REPARACION Y COMPRAS GENERALES.</t>
  </si>
  <si>
    <t>1602-1</t>
  </si>
  <si>
    <t>GLOBAL MULTI-PHARMA DOMINICANA</t>
  </si>
  <si>
    <t>PAGO A FACTURA N0. 480,487 Y 527, COMPRA DE MEDICAMENTOS E INSUMOS MEDICOS.</t>
  </si>
  <si>
    <t>el liBRAMIENTO N0. 1223-1 FUE ANULADO EN ESTA FECHA.</t>
  </si>
  <si>
    <t>CARGOS POR PAGOS CARDNET</t>
  </si>
  <si>
    <t>PAGO A EXCOLABORADORES ABRIL 2022</t>
  </si>
  <si>
    <t>PAGO A NOMINA EVENTUAL</t>
  </si>
  <si>
    <t>DEPOSITO NO IDENTIFICADO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</si>
</sst>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mm/dd/yyyy;@"/>
    <numFmt numFmtId="166" formatCode="_(* #,##0.000_);_(* \(#,##0.000\);_(* &quot;-&quot;?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i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3" applyNumberFormat="0" applyAlignment="0" applyProtection="0"/>
    <xf numFmtId="0" fontId="21" fillId="0" borderId="5" applyNumberFormat="0" applyFill="0" applyAlignment="0" applyProtection="0"/>
    <xf numFmtId="0" fontId="22" fillId="23" borderId="0" applyNumberFormat="0" applyBorder="0" applyAlignment="0" applyProtection="0"/>
    <xf numFmtId="0" fontId="10" fillId="24" borderId="9" applyNumberFormat="0" applyFont="0" applyAlignment="0" applyProtection="0"/>
    <xf numFmtId="0" fontId="23" fillId="21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6" fillId="5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0" fontId="21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20" fillId="8" borderId="3" applyNumberFormat="0" applyAlignment="0" applyProtection="0"/>
    <xf numFmtId="0" fontId="12" fillId="4" borderId="0" applyNumberFormat="0" applyBorder="0" applyAlignment="0" applyProtection="0"/>
    <xf numFmtId="0" fontId="10" fillId="24" borderId="9" applyNumberFormat="0" applyFont="0" applyAlignment="0" applyProtection="0"/>
    <xf numFmtId="0" fontId="23" fillId="21" borderId="10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</cellStyleXfs>
  <cellXfs count="262">
    <xf numFmtId="0" fontId="0" fillId="0" borderId="0" xfId="0"/>
    <xf numFmtId="43" fontId="2" fillId="2" borderId="1" xfId="1" applyFont="1" applyFill="1" applyBorder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/>
    <xf numFmtId="0" fontId="0" fillId="2" borderId="0" xfId="0" applyFill="1"/>
    <xf numFmtId="43" fontId="8" fillId="0" borderId="0" xfId="0" applyNumberFormat="1" applyFont="1" applyBorder="1" applyAlignment="1"/>
    <xf numFmtId="0" fontId="0" fillId="0" borderId="0" xfId="0" applyBorder="1"/>
    <xf numFmtId="43" fontId="0" fillId="0" borderId="0" xfId="1" applyFont="1"/>
    <xf numFmtId="43" fontId="27" fillId="2" borderId="0" xfId="1" applyFont="1" applyFill="1" applyBorder="1"/>
    <xf numFmtId="43" fontId="8" fillId="2" borderId="0" xfId="1" applyFont="1" applyFill="1" applyBorder="1" applyAlignment="1"/>
    <xf numFmtId="0" fontId="2" fillId="0" borderId="0" xfId="0" applyFont="1"/>
    <xf numFmtId="0" fontId="0" fillId="0" borderId="0" xfId="0"/>
    <xf numFmtId="0" fontId="2" fillId="0" borderId="13" xfId="0" applyFont="1" applyBorder="1" applyAlignment="1">
      <alignment horizontal="center"/>
    </xf>
    <xf numFmtId="43" fontId="28" fillId="0" borderId="0" xfId="1" applyFont="1"/>
    <xf numFmtId="43" fontId="3" fillId="2" borderId="0" xfId="1" applyFont="1" applyFill="1" applyBorder="1"/>
    <xf numFmtId="14" fontId="8" fillId="2" borderId="0" xfId="0" applyNumberFormat="1" applyFont="1" applyFill="1" applyBorder="1" applyAlignment="1">
      <alignment horizontal="left" wrapText="1"/>
    </xf>
    <xf numFmtId="43" fontId="0" fillId="2" borderId="0" xfId="1" applyFont="1" applyFill="1"/>
    <xf numFmtId="164" fontId="8" fillId="2" borderId="1" xfId="0" applyNumberFormat="1" applyFont="1" applyFill="1" applyBorder="1" applyAlignment="1">
      <alignment horizontal="center" wrapText="1"/>
    </xf>
    <xf numFmtId="0" fontId="8" fillId="2" borderId="0" xfId="0" applyFont="1" applyFill="1"/>
    <xf numFmtId="43" fontId="8" fillId="2" borderId="0" xfId="1" applyFont="1" applyFill="1"/>
    <xf numFmtId="43" fontId="8" fillId="2" borderId="0" xfId="0" applyNumberFormat="1" applyFont="1" applyFill="1"/>
    <xf numFmtId="0" fontId="8" fillId="0" borderId="0" xfId="0" applyFont="1"/>
    <xf numFmtId="43" fontId="8" fillId="2" borderId="1" xfId="0" applyNumberFormat="1" applyFont="1" applyFill="1" applyBorder="1" applyAlignment="1">
      <alignment wrapText="1"/>
    </xf>
    <xf numFmtId="0" fontId="8" fillId="0" borderId="1" xfId="0" applyFont="1" applyBorder="1"/>
    <xf numFmtId="14" fontId="8" fillId="2" borderId="0" xfId="0" applyNumberFormat="1" applyFont="1" applyFill="1" applyBorder="1"/>
    <xf numFmtId="0" fontId="8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3" fontId="8" fillId="2" borderId="0" xfId="1" applyFont="1" applyFill="1" applyBorder="1"/>
    <xf numFmtId="0" fontId="3" fillId="2" borderId="0" xfId="0" applyFont="1" applyFill="1"/>
    <xf numFmtId="0" fontId="28" fillId="0" borderId="0" xfId="0" applyFont="1"/>
    <xf numFmtId="0" fontId="33" fillId="0" borderId="0" xfId="0" applyFont="1"/>
    <xf numFmtId="0" fontId="8" fillId="2" borderId="1" xfId="0" applyNumberFormat="1" applyFont="1" applyFill="1" applyBorder="1" applyAlignment="1">
      <alignment horizontal="left"/>
    </xf>
    <xf numFmtId="43" fontId="3" fillId="2" borderId="0" xfId="1" applyFont="1" applyFill="1" applyBorder="1" applyAlignment="1">
      <alignment horizontal="center"/>
    </xf>
    <xf numFmtId="0" fontId="0" fillId="0" borderId="0" xfId="0" applyBorder="1"/>
    <xf numFmtId="43" fontId="8" fillId="2" borderId="1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/>
    </xf>
    <xf numFmtId="43" fontId="8" fillId="2" borderId="1" xfId="1" applyFont="1" applyFill="1" applyBorder="1"/>
    <xf numFmtId="0" fontId="8" fillId="2" borderId="0" xfId="0" applyFont="1" applyFill="1"/>
    <xf numFmtId="0" fontId="8" fillId="2" borderId="0" xfId="0" applyFont="1" applyFill="1" applyBorder="1"/>
    <xf numFmtId="14" fontId="8" fillId="2" borderId="1" xfId="0" applyNumberFormat="1" applyFont="1" applyFill="1" applyBorder="1" applyAlignment="1">
      <alignment horizontal="left" wrapText="1"/>
    </xf>
    <xf numFmtId="0" fontId="8" fillId="2" borderId="1" xfId="0" applyNumberFormat="1" applyFont="1" applyFill="1" applyBorder="1" applyAlignment="1">
      <alignment horizontal="center"/>
    </xf>
    <xf numFmtId="43" fontId="8" fillId="2" borderId="1" xfId="0" applyNumberFormat="1" applyFont="1" applyFill="1" applyBorder="1"/>
    <xf numFmtId="165" fontId="8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43" fontId="0" fillId="0" borderId="0" xfId="1" applyFont="1" applyBorder="1"/>
    <xf numFmtId="0" fontId="8" fillId="2" borderId="1" xfId="0" applyNumberFormat="1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43" fontId="8" fillId="2" borderId="0" xfId="0" applyNumberFormat="1" applyFont="1" applyFill="1" applyBorder="1"/>
    <xf numFmtId="43" fontId="3" fillId="2" borderId="1" xfId="1" applyFont="1" applyFill="1" applyBorder="1"/>
    <xf numFmtId="0" fontId="5" fillId="0" borderId="0" xfId="0" applyFont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35" fillId="0" borderId="0" xfId="0" applyFont="1"/>
    <xf numFmtId="0" fontId="36" fillId="0" borderId="1" xfId="0" applyFont="1" applyBorder="1" applyAlignment="1">
      <alignment horizontal="center"/>
    </xf>
    <xf numFmtId="0" fontId="35" fillId="0" borderId="0" xfId="0" applyFont="1" applyBorder="1"/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/>
    <xf numFmtId="43" fontId="3" fillId="2" borderId="12" xfId="0" applyNumberFormat="1" applyFont="1" applyFill="1" applyBorder="1"/>
    <xf numFmtId="43" fontId="8" fillId="25" borderId="1" xfId="0" applyNumberFormat="1" applyFont="1" applyFill="1" applyBorder="1"/>
    <xf numFmtId="0" fontId="0" fillId="2" borderId="0" xfId="0" applyFont="1" applyFill="1" applyAlignment="1">
      <alignment horizontal="center"/>
    </xf>
    <xf numFmtId="43" fontId="0" fillId="2" borderId="0" xfId="1" applyNumberFormat="1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 applyAlignment="1"/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top" wrapText="1"/>
    </xf>
    <xf numFmtId="43" fontId="3" fillId="2" borderId="0" xfId="0" applyNumberFormat="1" applyFont="1" applyFill="1"/>
    <xf numFmtId="0" fontId="8" fillId="2" borderId="0" xfId="0" applyFont="1" applyFill="1" applyBorder="1" applyAlignment="1">
      <alignment horizontal="center"/>
    </xf>
    <xf numFmtId="12" fontId="8" fillId="2" borderId="0" xfId="1" applyNumberFormat="1" applyFont="1" applyFill="1"/>
    <xf numFmtId="43" fontId="3" fillId="2" borderId="1" xfId="0" applyNumberFormat="1" applyFont="1" applyFill="1" applyBorder="1" applyAlignment="1">
      <alignment wrapText="1"/>
    </xf>
    <xf numFmtId="43" fontId="8" fillId="0" borderId="0" xfId="1" applyFont="1" applyBorder="1"/>
    <xf numFmtId="0" fontId="8" fillId="2" borderId="0" xfId="0" applyFont="1" applyFill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43" fontId="8" fillId="2" borderId="0" xfId="1" applyFont="1" applyFill="1"/>
    <xf numFmtId="0" fontId="0" fillId="0" borderId="0" xfId="0"/>
    <xf numFmtId="0" fontId="8" fillId="0" borderId="0" xfId="0" applyFont="1"/>
    <xf numFmtId="43" fontId="8" fillId="2" borderId="1" xfId="1" applyFont="1" applyFill="1" applyBorder="1"/>
    <xf numFmtId="14" fontId="8" fillId="2" borderId="1" xfId="0" applyNumberFormat="1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3" fillId="2" borderId="0" xfId="0" applyNumberFormat="1" applyFont="1" applyFill="1" applyBorder="1"/>
    <xf numFmtId="43" fontId="8" fillId="2" borderId="1" xfId="0" applyNumberFormat="1" applyFont="1" applyFill="1" applyBorder="1"/>
    <xf numFmtId="43" fontId="3" fillId="2" borderId="1" xfId="0" applyNumberFormat="1" applyFont="1" applyFill="1" applyBorder="1"/>
    <xf numFmtId="43" fontId="37" fillId="0" borderId="0" xfId="1" applyFont="1" applyBorder="1"/>
    <xf numFmtId="0" fontId="29" fillId="2" borderId="0" xfId="0" applyFont="1" applyFill="1" applyBorder="1" applyAlignment="1">
      <alignment horizontal="center" vertical="center"/>
    </xf>
    <xf numFmtId="0" fontId="28" fillId="2" borderId="0" xfId="0" applyFont="1" applyFill="1"/>
    <xf numFmtId="43" fontId="37" fillId="0" borderId="1" xfId="1" applyFont="1" applyBorder="1"/>
    <xf numFmtId="43" fontId="38" fillId="0" borderId="1" xfId="1" applyFont="1" applyBorder="1"/>
    <xf numFmtId="0" fontId="32" fillId="26" borderId="0" xfId="0" applyFont="1" applyFill="1" applyAlignment="1">
      <alignment horizontal="center" vertical="center"/>
    </xf>
    <xf numFmtId="0" fontId="32" fillId="26" borderId="0" xfId="0" applyFont="1" applyFill="1" applyAlignment="1">
      <alignment horizontal="center" vertical="center" wrapText="1"/>
    </xf>
    <xf numFmtId="0" fontId="29" fillId="26" borderId="1" xfId="0" applyFont="1" applyFill="1" applyBorder="1" applyAlignment="1">
      <alignment horizontal="center" wrapText="1"/>
    </xf>
    <xf numFmtId="0" fontId="29" fillId="26" borderId="2" xfId="0" applyFont="1" applyFill="1" applyBorder="1" applyAlignment="1">
      <alignment horizontal="center" wrapText="1"/>
    </xf>
    <xf numFmtId="43" fontId="29" fillId="26" borderId="1" xfId="1" applyFont="1" applyFill="1" applyBorder="1" applyAlignment="1">
      <alignment horizontal="center" wrapText="1"/>
    </xf>
    <xf numFmtId="4" fontId="29" fillId="26" borderId="1" xfId="0" applyNumberFormat="1" applyFont="1" applyFill="1" applyBorder="1" applyAlignment="1">
      <alignment horizontal="center" wrapText="1"/>
    </xf>
    <xf numFmtId="2" fontId="29" fillId="26" borderId="1" xfId="0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29" fillId="0" borderId="0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 wrapText="1"/>
    </xf>
    <xf numFmtId="43" fontId="29" fillId="2" borderId="1" xfId="1" applyFont="1" applyFill="1" applyBorder="1" applyAlignment="1">
      <alignment horizontal="center" wrapText="1"/>
    </xf>
    <xf numFmtId="4" fontId="29" fillId="2" borderId="1" xfId="0" applyNumberFormat="1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43" fontId="0" fillId="25" borderId="0" xfId="1" applyFont="1" applyFill="1"/>
    <xf numFmtId="43" fontId="2" fillId="0" borderId="0" xfId="1" applyFont="1"/>
    <xf numFmtId="43" fontId="2" fillId="2" borderId="0" xfId="1" applyFont="1" applyFill="1"/>
    <xf numFmtId="43" fontId="1" fillId="25" borderId="0" xfId="1" applyFont="1" applyFill="1"/>
    <xf numFmtId="43" fontId="2" fillId="2" borderId="0" xfId="0" applyNumberFormat="1" applyFont="1" applyFill="1"/>
    <xf numFmtId="43" fontId="0" fillId="2" borderId="0" xfId="0" applyNumberFormat="1" applyFill="1"/>
    <xf numFmtId="43" fontId="3" fillId="2" borderId="14" xfId="0" applyNumberFormat="1" applyFont="1" applyFill="1" applyBorder="1"/>
    <xf numFmtId="0" fontId="33" fillId="2" borderId="0" xfId="0" applyFont="1" applyFill="1"/>
    <xf numFmtId="43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top" wrapText="1"/>
    </xf>
    <xf numFmtId="43" fontId="8" fillId="2" borderId="2" xfId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14" fontId="8" fillId="2" borderId="2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14" fontId="8" fillId="2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top" wrapText="1"/>
    </xf>
    <xf numFmtId="43" fontId="8" fillId="2" borderId="0" xfId="1" applyFont="1" applyFill="1" applyBorder="1" applyAlignment="1">
      <alignment horizontal="center" vertical="top" wrapText="1"/>
    </xf>
    <xf numFmtId="4" fontId="8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/>
    <xf numFmtId="1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43" fontId="8" fillId="2" borderId="1" xfId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/>
    <xf numFmtId="43" fontId="8" fillId="2" borderId="0" xfId="1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center" vertical="top" wrapText="1"/>
    </xf>
    <xf numFmtId="16" fontId="8" fillId="2" borderId="1" xfId="0" applyNumberFormat="1" applyFont="1" applyFill="1" applyBorder="1" applyAlignment="1">
      <alignment wrapText="1"/>
    </xf>
    <xf numFmtId="49" fontId="8" fillId="2" borderId="1" xfId="1" applyNumberFormat="1" applyFont="1" applyFill="1" applyBorder="1" applyAlignment="1">
      <alignment horizontal="center" wrapText="1"/>
    </xf>
    <xf numFmtId="0" fontId="39" fillId="26" borderId="0" xfId="0" applyFont="1" applyFill="1" applyAlignment="1">
      <alignment horizontal="center" vertical="top"/>
    </xf>
    <xf numFmtId="0" fontId="39" fillId="26" borderId="0" xfId="0" applyFont="1" applyFill="1" applyAlignment="1">
      <alignment horizontal="center" vertical="top" wrapText="1"/>
    </xf>
    <xf numFmtId="43" fontId="0" fillId="0" borderId="1" xfId="0" applyNumberFormat="1" applyFont="1" applyBorder="1" applyAlignment="1"/>
    <xf numFmtId="4" fontId="3" fillId="2" borderId="0" xfId="0" applyNumberFormat="1" applyFont="1" applyFill="1" applyBorder="1" applyAlignment="1">
      <alignment horizontal="center" vertical="top" wrapText="1"/>
    </xf>
    <xf numFmtId="0" fontId="8" fillId="26" borderId="2" xfId="0" applyFont="1" applyFill="1" applyBorder="1" applyAlignment="1">
      <alignment horizontal="center" vertical="top" wrapText="1"/>
    </xf>
    <xf numFmtId="43" fontId="8" fillId="26" borderId="2" xfId="1" applyFont="1" applyFill="1" applyBorder="1" applyAlignment="1">
      <alignment horizontal="center" vertical="top" wrapText="1"/>
    </xf>
    <xf numFmtId="4" fontId="8" fillId="26" borderId="2" xfId="0" applyNumberFormat="1" applyFont="1" applyFill="1" applyBorder="1" applyAlignment="1">
      <alignment horizontal="center" vertical="top" wrapText="1"/>
    </xf>
    <xf numFmtId="2" fontId="8" fillId="26" borderId="2" xfId="0" applyNumberFormat="1" applyFont="1" applyFill="1" applyBorder="1" applyAlignment="1">
      <alignment horizontal="center" vertical="top" wrapText="1"/>
    </xf>
    <xf numFmtId="0" fontId="4" fillId="26" borderId="0" xfId="0" applyFont="1" applyFill="1" applyAlignment="1">
      <alignment horizontal="center" vertical="center"/>
    </xf>
    <xf numFmtId="0" fontId="4" fillId="26" borderId="0" xfId="0" applyFont="1" applyFill="1" applyAlignment="1">
      <alignment horizontal="center" vertical="center" wrapText="1"/>
    </xf>
    <xf numFmtId="43" fontId="29" fillId="26" borderId="2" xfId="1" applyFont="1" applyFill="1" applyBorder="1" applyAlignment="1">
      <alignment horizontal="center" wrapText="1"/>
    </xf>
    <xf numFmtId="4" fontId="29" fillId="26" borderId="2" xfId="0" applyNumberFormat="1" applyFont="1" applyFill="1" applyBorder="1" applyAlignment="1">
      <alignment horizontal="center" wrapText="1"/>
    </xf>
    <xf numFmtId="2" fontId="29" fillId="26" borderId="2" xfId="0" applyNumberFormat="1" applyFont="1" applyFill="1" applyBorder="1" applyAlignment="1">
      <alignment horizontal="center" wrapText="1"/>
    </xf>
    <xf numFmtId="43" fontId="3" fillId="2" borderId="12" xfId="1" applyFont="1" applyFill="1" applyBorder="1"/>
    <xf numFmtId="43" fontId="3" fillId="2" borderId="12" xfId="1" applyFont="1" applyFill="1" applyBorder="1" applyAlignment="1">
      <alignment horizontal="center" vertical="top" wrapText="1"/>
    </xf>
    <xf numFmtId="4" fontId="3" fillId="2" borderId="12" xfId="0" applyNumberFormat="1" applyFont="1" applyFill="1" applyBorder="1" applyAlignment="1">
      <alignment horizontal="center" vertical="top" wrapText="1"/>
    </xf>
    <xf numFmtId="43" fontId="8" fillId="2" borderId="1" xfId="1" applyFont="1" applyFill="1" applyBorder="1" applyAlignment="1"/>
    <xf numFmtId="14" fontId="8" fillId="2" borderId="1" xfId="0" applyNumberFormat="1" applyFont="1" applyFill="1" applyBorder="1"/>
    <xf numFmtId="43" fontId="8" fillId="2" borderId="1" xfId="0" applyNumberFormat="1" applyFont="1" applyFill="1" applyBorder="1" applyAlignment="1">
      <alignment horizontal="left" wrapText="1"/>
    </xf>
    <xf numFmtId="43" fontId="3" fillId="2" borderId="14" xfId="1" applyFont="1" applyFill="1" applyBorder="1"/>
    <xf numFmtId="43" fontId="3" fillId="0" borderId="1" xfId="1" applyFont="1" applyBorder="1"/>
    <xf numFmtId="43" fontId="8" fillId="0" borderId="1" xfId="1" applyFont="1" applyBorder="1"/>
    <xf numFmtId="43" fontId="8" fillId="2" borderId="14" xfId="1" applyFont="1" applyFill="1" applyBorder="1" applyAlignment="1">
      <alignment horizontal="center" vertical="top" wrapText="1"/>
    </xf>
    <xf numFmtId="4" fontId="3" fillId="2" borderId="14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wrapText="1"/>
    </xf>
    <xf numFmtId="43" fontId="8" fillId="2" borderId="2" xfId="0" applyNumberFormat="1" applyFont="1" applyFill="1" applyBorder="1"/>
    <xf numFmtId="166" fontId="8" fillId="2" borderId="1" xfId="0" applyNumberFormat="1" applyFont="1" applyFill="1" applyBorder="1"/>
    <xf numFmtId="43" fontId="8" fillId="2" borderId="0" xfId="1" applyFont="1" applyFill="1" applyBorder="1" applyAlignment="1">
      <alignment horizontal="center" wrapText="1"/>
    </xf>
    <xf numFmtId="0" fontId="0" fillId="0" borderId="0" xfId="0" applyAlignment="1"/>
    <xf numFmtId="43" fontId="0" fillId="0" borderId="0" xfId="0" applyNumberFormat="1"/>
    <xf numFmtId="43" fontId="8" fillId="2" borderId="1" xfId="0" applyNumberFormat="1" applyFont="1" applyFill="1" applyBorder="1"/>
    <xf numFmtId="165" fontId="28" fillId="2" borderId="0" xfId="0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wrapText="1"/>
    </xf>
    <xf numFmtId="43" fontId="28" fillId="2" borderId="0" xfId="0" applyNumberFormat="1" applyFont="1" applyFill="1" applyBorder="1"/>
    <xf numFmtId="43" fontId="29" fillId="2" borderId="0" xfId="0" applyNumberFormat="1" applyFont="1" applyFill="1" applyBorder="1"/>
    <xf numFmtId="43" fontId="3" fillId="2" borderId="0" xfId="1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/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43" fontId="8" fillId="2" borderId="1" xfId="1" applyFont="1" applyFill="1" applyBorder="1" applyAlignment="1">
      <alignment vertical="center"/>
    </xf>
    <xf numFmtId="43" fontId="8" fillId="2" borderId="1" xfId="1" applyFont="1" applyFill="1" applyBorder="1" applyAlignment="1">
      <alignment horizontal="center" vertical="center"/>
    </xf>
    <xf numFmtId="43" fontId="40" fillId="2" borderId="0" xfId="1" applyFont="1" applyFill="1" applyBorder="1"/>
    <xf numFmtId="43" fontId="41" fillId="2" borderId="0" xfId="1" applyFont="1" applyFill="1" applyBorder="1"/>
    <xf numFmtId="43" fontId="8" fillId="2" borderId="1" xfId="0" applyNumberFormat="1" applyFont="1" applyFill="1" applyBorder="1" applyAlignment="1">
      <alignment vertical="center"/>
    </xf>
    <xf numFmtId="43" fontId="8" fillId="2" borderId="1" xfId="1" applyFont="1" applyFill="1" applyBorder="1" applyAlignment="1">
      <alignment wrapText="1"/>
    </xf>
    <xf numFmtId="0" fontId="8" fillId="2" borderId="1" xfId="0" applyFont="1" applyFill="1" applyBorder="1" applyAlignment="1"/>
    <xf numFmtId="14" fontId="8" fillId="2" borderId="1" xfId="0" applyNumberFormat="1" applyFont="1" applyFill="1" applyBorder="1" applyAlignment="1">
      <alignment horizontal="center"/>
    </xf>
    <xf numFmtId="43" fontId="42" fillId="2" borderId="1" xfId="1" applyFont="1" applyFill="1" applyBorder="1"/>
    <xf numFmtId="43" fontId="27" fillId="2" borderId="1" xfId="1" applyFont="1" applyFill="1" applyBorder="1"/>
    <xf numFmtId="165" fontId="8" fillId="2" borderId="1" xfId="0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43" fontId="8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top" wrapText="1"/>
    </xf>
    <xf numFmtId="0" fontId="8" fillId="27" borderId="1" xfId="0" applyFont="1" applyFill="1" applyBorder="1" applyAlignment="1">
      <alignment horizontal="center"/>
    </xf>
    <xf numFmtId="0" fontId="8" fillId="27" borderId="2" xfId="0" applyFont="1" applyFill="1" applyBorder="1" applyAlignment="1">
      <alignment horizontal="center"/>
    </xf>
    <xf numFmtId="0" fontId="29" fillId="2" borderId="1" xfId="0" applyFont="1" applyFill="1" applyBorder="1"/>
    <xf numFmtId="43" fontId="28" fillId="2" borderId="1" xfId="1" applyFont="1" applyFill="1" applyBorder="1" applyAlignment="1">
      <alignment horizontal="center"/>
    </xf>
    <xf numFmtId="43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left" wrapText="1"/>
    </xf>
    <xf numFmtId="43" fontId="42" fillId="2" borderId="0" xfId="1" applyFont="1" applyFill="1" applyBorder="1"/>
    <xf numFmtId="43" fontId="8" fillId="0" borderId="0" xfId="1" applyFont="1"/>
    <xf numFmtId="43" fontId="8" fillId="0" borderId="0" xfId="0" applyNumberFormat="1" applyFont="1"/>
    <xf numFmtId="0" fontId="8" fillId="2" borderId="0" xfId="0" applyFont="1" applyFill="1" applyBorder="1" applyAlignment="1">
      <alignment horizontal="left" vertical="center" wrapText="1"/>
    </xf>
    <xf numFmtId="43" fontId="3" fillId="2" borderId="14" xfId="1" applyFont="1" applyFill="1" applyBorder="1" applyAlignment="1">
      <alignment horizontal="center" vertical="top" wrapText="1"/>
    </xf>
    <xf numFmtId="0" fontId="8" fillId="25" borderId="0" xfId="0" applyFont="1" applyFill="1" applyBorder="1"/>
    <xf numFmtId="14" fontId="8" fillId="25" borderId="0" xfId="0" applyNumberFormat="1" applyFont="1" applyFill="1" applyBorder="1"/>
    <xf numFmtId="0" fontId="8" fillId="25" borderId="0" xfId="0" applyNumberFormat="1" applyFont="1" applyFill="1" applyBorder="1" applyAlignment="1">
      <alignment horizontal="center"/>
    </xf>
    <xf numFmtId="14" fontId="8" fillId="25" borderId="0" xfId="0" applyNumberFormat="1" applyFont="1" applyFill="1" applyBorder="1" applyAlignment="1">
      <alignment horizontal="left" wrapText="1"/>
    </xf>
    <xf numFmtId="43" fontId="3" fillId="25" borderId="0" xfId="0" applyNumberFormat="1" applyFont="1" applyFill="1" applyBorder="1"/>
    <xf numFmtId="43" fontId="3" fillId="25" borderId="0" xfId="1" applyFont="1" applyFill="1" applyBorder="1"/>
    <xf numFmtId="43" fontId="8" fillId="25" borderId="0" xfId="1" applyFont="1" applyFill="1" applyBorder="1"/>
    <xf numFmtId="0" fontId="8" fillId="25" borderId="0" xfId="0" applyFont="1" applyFill="1"/>
    <xf numFmtId="0" fontId="8" fillId="28" borderId="15" xfId="0" applyFont="1" applyFill="1" applyBorder="1" applyAlignment="1">
      <alignment horizontal="center"/>
    </xf>
    <xf numFmtId="0" fontId="29" fillId="28" borderId="16" xfId="0" applyFont="1" applyFill="1" applyBorder="1"/>
    <xf numFmtId="0" fontId="8" fillId="28" borderId="16" xfId="0" applyFont="1" applyFill="1" applyBorder="1" applyAlignment="1">
      <alignment wrapText="1"/>
    </xf>
    <xf numFmtId="43" fontId="28" fillId="28" borderId="16" xfId="1" applyFont="1" applyFill="1" applyBorder="1" applyAlignment="1">
      <alignment horizontal="center"/>
    </xf>
    <xf numFmtId="43" fontId="8" fillId="28" borderId="16" xfId="1" applyFont="1" applyFill="1" applyBorder="1"/>
    <xf numFmtId="43" fontId="27" fillId="28" borderId="17" xfId="1" applyFont="1" applyFill="1" applyBorder="1"/>
    <xf numFmtId="0" fontId="8" fillId="28" borderId="0" xfId="0" applyFont="1" applyFill="1"/>
    <xf numFmtId="43" fontId="43" fillId="2" borderId="0" xfId="0" applyNumberFormat="1" applyFont="1" applyFill="1"/>
    <xf numFmtId="14" fontId="42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42" fillId="2" borderId="1" xfId="0" applyFont="1" applyFill="1" applyBorder="1" applyAlignment="1">
      <alignment wrapText="1"/>
    </xf>
    <xf numFmtId="0" fontId="42" fillId="2" borderId="1" xfId="0" applyFont="1" applyFill="1" applyBorder="1" applyAlignment="1">
      <alignment horizontal="center"/>
    </xf>
    <xf numFmtId="0" fontId="42" fillId="2" borderId="0" xfId="0" applyFont="1" applyFill="1"/>
    <xf numFmtId="0" fontId="42" fillId="2" borderId="1" xfId="0" applyFont="1" applyFill="1" applyBorder="1"/>
    <xf numFmtId="0" fontId="42" fillId="2" borderId="1" xfId="0" applyFont="1" applyFill="1" applyBorder="1" applyAlignment="1">
      <alignment horizontal="left" wrapText="1"/>
    </xf>
    <xf numFmtId="0" fontId="42" fillId="2" borderId="1" xfId="0" applyFont="1" applyFill="1" applyBorder="1" applyAlignment="1">
      <alignment horizontal="left"/>
    </xf>
    <xf numFmtId="43" fontId="27" fillId="0" borderId="1" xfId="1" applyFont="1" applyBorder="1"/>
    <xf numFmtId="43" fontId="42" fillId="0" borderId="1" xfId="1" applyFont="1" applyBorder="1"/>
    <xf numFmtId="0" fontId="33" fillId="26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26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43" fontId="8" fillId="2" borderId="0" xfId="1" applyNumberFormat="1" applyFont="1" applyFill="1" applyAlignment="1">
      <alignment horizontal="center"/>
    </xf>
    <xf numFmtId="0" fontId="34" fillId="2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1" fillId="26" borderId="0" xfId="0" applyFont="1" applyFill="1" applyAlignment="1">
      <alignment horizontal="center" vertical="top"/>
    </xf>
    <xf numFmtId="0" fontId="29" fillId="2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top"/>
    </xf>
  </cellXfs>
  <cellStyles count="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47"/>
    <cellStyle name="20% - Énfasis2 2" xfId="48"/>
    <cellStyle name="20% - Énfasis3 2" xfId="49"/>
    <cellStyle name="20% - Énfasis4 2" xfId="50"/>
    <cellStyle name="20% - Énfasis5 2" xfId="51"/>
    <cellStyle name="20% - Énfasis6 2" xfId="52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Énfasis1 2" xfId="53"/>
    <cellStyle name="40% - Énfasis2 2" xfId="54"/>
    <cellStyle name="40% - Énfasis3 2" xfId="55"/>
    <cellStyle name="40% - Énfasis4 2" xfId="56"/>
    <cellStyle name="40% - Énfasis5 2" xfId="57"/>
    <cellStyle name="40% - Énfasis6 2" xfId="58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Énfasis1 2" xfId="59"/>
    <cellStyle name="60% - Énfasis2 2" xfId="60"/>
    <cellStyle name="60% - Énfasis3 2" xfId="61"/>
    <cellStyle name="60% - Énfasis4 2" xfId="62"/>
    <cellStyle name="60% - Énfasis5 2" xfId="63"/>
    <cellStyle name="60% - Énfasis6 2" xfId="64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65"/>
    <cellStyle name="Calculation" xfId="30"/>
    <cellStyle name="Cálculo 2" xfId="66"/>
    <cellStyle name="Celda de comprobación 2" xfId="67"/>
    <cellStyle name="Celda vinculada 2" xfId="68"/>
    <cellStyle name="Check Cell" xfId="31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correcto 2" xfId="77"/>
    <cellStyle name="Input" xfId="38"/>
    <cellStyle name="Linked Cell" xfId="39"/>
    <cellStyle name="Millares" xfId="1" builtinId="3"/>
    <cellStyle name="Millares 2" xfId="3"/>
    <cellStyle name="Neutral 2" xfId="40"/>
    <cellStyle name="Normal" xfId="0" builtinId="0"/>
    <cellStyle name="Normal 2" xfId="2"/>
    <cellStyle name="Normal 2 2" xfId="4"/>
    <cellStyle name="Normal 3" xfId="46"/>
    <cellStyle name="Notas 2" xfId="78"/>
    <cellStyle name="Note" xfId="41"/>
    <cellStyle name="Output" xfId="42"/>
    <cellStyle name="Salida 2" xfId="79"/>
    <cellStyle name="Texto de advertencia 2" xfId="80"/>
    <cellStyle name="Texto explicativo 2" xfId="81"/>
    <cellStyle name="Title" xfId="43"/>
    <cellStyle name="Título 2 2" xfId="83"/>
    <cellStyle name="Título 3 2" xfId="84"/>
    <cellStyle name="Título 4" xfId="82"/>
    <cellStyle name="Total 2" xfId="44"/>
    <cellStyle name="Warning Text" xfId="4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1107.0D6FC130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790372</xdr:colOff>
      <xdr:row>60</xdr:row>
      <xdr:rowOff>0</xdr:rowOff>
    </xdr:from>
    <xdr:to>
      <xdr:col>2</xdr:col>
      <xdr:colOff>1449016</xdr:colOff>
      <xdr:row>60</xdr:row>
      <xdr:rowOff>10132</xdr:rowOff>
    </xdr:to>
    <xdr:cxnSp macro="">
      <xdr:nvCxnSpPr>
        <xdr:cNvPr id="5" name="4 Conector rec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790372" y="187875559"/>
          <a:ext cx="2452181" cy="1013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466117</xdr:colOff>
      <xdr:row>60</xdr:row>
      <xdr:rowOff>141861</xdr:rowOff>
    </xdr:from>
    <xdr:to>
      <xdr:col>3</xdr:col>
      <xdr:colOff>486383</xdr:colOff>
      <xdr:row>60</xdr:row>
      <xdr:rowOff>162127</xdr:rowOff>
    </xdr:to>
    <xdr:cxnSp macro="">
      <xdr:nvCxnSpPr>
        <xdr:cNvPr id="8" name="7 Conector rec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4924628" y="188017420"/>
          <a:ext cx="20266" cy="202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438150</xdr:colOff>
      <xdr:row>60</xdr:row>
      <xdr:rowOff>0</xdr:rowOff>
    </xdr:from>
    <xdr:to>
      <xdr:col>6</xdr:col>
      <xdr:colOff>661075</xdr:colOff>
      <xdr:row>60</xdr:row>
      <xdr:rowOff>10133</xdr:rowOff>
    </xdr:to>
    <xdr:cxnSp macro="">
      <xdr:nvCxnSpPr>
        <xdr:cNvPr id="10" name="9 Conector rec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467725" y="13201650"/>
          <a:ext cx="2518450" cy="101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0</xdr:row>
      <xdr:rowOff>57150</xdr:rowOff>
    </xdr:from>
    <xdr:to>
      <xdr:col>2</xdr:col>
      <xdr:colOff>1066800</xdr:colOff>
      <xdr:row>5</xdr:row>
      <xdr:rowOff>76200</xdr:rowOff>
    </xdr:to>
    <xdr:pic>
      <xdr:nvPicPr>
        <xdr:cNvPr id="11" name="10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25717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971550</xdr:colOff>
      <xdr:row>92</xdr:row>
      <xdr:rowOff>171450</xdr:rowOff>
    </xdr:from>
    <xdr:to>
      <xdr:col>3</xdr:col>
      <xdr:colOff>2686050</xdr:colOff>
      <xdr:row>92</xdr:row>
      <xdr:rowOff>171450</xdr:rowOff>
    </xdr:to>
    <xdr:cxnSp macro="">
      <xdr:nvCxnSpPr>
        <xdr:cNvPr id="7" name="6 Conector rec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324475" y="671512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952500</xdr:colOff>
      <xdr:row>92</xdr:row>
      <xdr:rowOff>142875</xdr:rowOff>
    </xdr:from>
    <xdr:to>
      <xdr:col>6</xdr:col>
      <xdr:colOff>466725</xdr:colOff>
      <xdr:row>92</xdr:row>
      <xdr:rowOff>142875</xdr:rowOff>
    </xdr:to>
    <xdr:cxnSp macro="">
      <xdr:nvCxnSpPr>
        <xdr:cNvPr id="9" name="8 Conector rec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8353425" y="31851600"/>
          <a:ext cx="2076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93</xdr:row>
      <xdr:rowOff>28575</xdr:rowOff>
    </xdr:from>
    <xdr:to>
      <xdr:col>2</xdr:col>
      <xdr:colOff>971550</xdr:colOff>
      <xdr:row>93</xdr:row>
      <xdr:rowOff>28575</xdr:rowOff>
    </xdr:to>
    <xdr:cxnSp macro="">
      <xdr:nvCxnSpPr>
        <xdr:cNvPr id="13" name="12 Conector rec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0600" y="64789050"/>
          <a:ext cx="1695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6</xdr:row>
      <xdr:rowOff>9525</xdr:rowOff>
    </xdr:to>
    <xdr:pic>
      <xdr:nvPicPr>
        <xdr:cNvPr id="14" name="Imagen 2" descr="Logo2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0</xdr:row>
      <xdr:rowOff>66674</xdr:rowOff>
    </xdr:from>
    <xdr:to>
      <xdr:col>2</xdr:col>
      <xdr:colOff>1562100</xdr:colOff>
      <xdr:row>4</xdr:row>
      <xdr:rowOff>152399</xdr:rowOff>
    </xdr:to>
    <xdr:pic>
      <xdr:nvPicPr>
        <xdr:cNvPr id="10" name="9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4"/>
          <a:ext cx="3057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944</xdr:row>
      <xdr:rowOff>201707</xdr:rowOff>
    </xdr:from>
    <xdr:to>
      <xdr:col>1</xdr:col>
      <xdr:colOff>1624853</xdr:colOff>
      <xdr:row>945</xdr:row>
      <xdr:rowOff>0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019735" y="204540972"/>
          <a:ext cx="2353236" cy="112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100853</xdr:colOff>
      <xdr:row>0</xdr:row>
      <xdr:rowOff>61788</xdr:rowOff>
    </xdr:from>
    <xdr:to>
      <xdr:col>2</xdr:col>
      <xdr:colOff>1167403</xdr:colOff>
      <xdr:row>4</xdr:row>
      <xdr:rowOff>72371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61788"/>
          <a:ext cx="3128432" cy="82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1251517</xdr:colOff>
      <xdr:row>944</xdr:row>
      <xdr:rowOff>193601</xdr:rowOff>
    </xdr:from>
    <xdr:to>
      <xdr:col>3</xdr:col>
      <xdr:colOff>2966017</xdr:colOff>
      <xdr:row>944</xdr:row>
      <xdr:rowOff>193601</xdr:rowOff>
    </xdr:to>
    <xdr:cxnSp macro="">
      <xdr:nvCxnSpPr>
        <xdr:cNvPr id="13" name="12 Conector rec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313058" y="4956101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908198</xdr:colOff>
      <xdr:row>944</xdr:row>
      <xdr:rowOff>67994</xdr:rowOff>
    </xdr:from>
    <xdr:to>
      <xdr:col>7</xdr:col>
      <xdr:colOff>0</xdr:colOff>
      <xdr:row>944</xdr:row>
      <xdr:rowOff>88605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9801890" y="5063081"/>
          <a:ext cx="3509421" cy="20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1375833</xdr:colOff>
      <xdr:row>4</xdr:row>
      <xdr:rowOff>222249</xdr:rowOff>
    </xdr:to>
    <xdr:pic>
      <xdr:nvPicPr>
        <xdr:cNvPr id="7" name="Imagen 1" descr="timbrado_Metropolitan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0" y="0"/>
          <a:ext cx="3118908" cy="1050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971550</xdr:colOff>
      <xdr:row>382</xdr:row>
      <xdr:rowOff>171450</xdr:rowOff>
    </xdr:from>
    <xdr:to>
      <xdr:col>3</xdr:col>
      <xdr:colOff>2686050</xdr:colOff>
      <xdr:row>382</xdr:row>
      <xdr:rowOff>171450</xdr:rowOff>
    </xdr:to>
    <xdr:cxnSp macro="">
      <xdr:nvCxnSpPr>
        <xdr:cNvPr id="8" name="7 Conector rec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619750" y="31994475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941916</xdr:colOff>
      <xdr:row>383</xdr:row>
      <xdr:rowOff>26459</xdr:rowOff>
    </xdr:from>
    <xdr:to>
      <xdr:col>6</xdr:col>
      <xdr:colOff>456141</xdr:colOff>
      <xdr:row>383</xdr:row>
      <xdr:rowOff>26459</xdr:rowOff>
    </xdr:to>
    <xdr:cxnSp macro="">
      <xdr:nvCxnSpPr>
        <xdr:cNvPr id="9" name="8 Conector rec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9123891" y="320009309"/>
          <a:ext cx="2314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383</xdr:row>
      <xdr:rowOff>28575</xdr:rowOff>
    </xdr:from>
    <xdr:to>
      <xdr:col>2</xdr:col>
      <xdr:colOff>971550</xdr:colOff>
      <xdr:row>383</xdr:row>
      <xdr:rowOff>28575</xdr:rowOff>
    </xdr:to>
    <xdr:cxnSp macro="">
      <xdr:nvCxnSpPr>
        <xdr:cNvPr id="10" name="9 Conector rec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0600" y="320011425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889001</xdr:colOff>
      <xdr:row>0</xdr:row>
      <xdr:rowOff>74083</xdr:rowOff>
    </xdr:from>
    <xdr:to>
      <xdr:col>7</xdr:col>
      <xdr:colOff>187614</xdr:colOff>
      <xdr:row>4</xdr:row>
      <xdr:rowOff>84666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0976" y="74083"/>
          <a:ext cx="3708688" cy="848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419099</xdr:colOff>
      <xdr:row>2</xdr:row>
      <xdr:rowOff>361950</xdr:rowOff>
    </xdr:from>
    <xdr:to>
      <xdr:col>2</xdr:col>
      <xdr:colOff>2486025</xdr:colOff>
      <xdr:row>6</xdr:row>
      <xdr:rowOff>390525</xdr:rowOff>
    </xdr:to>
    <xdr:pic>
      <xdr:nvPicPr>
        <xdr:cNvPr id="3" name="Imagen 1" descr="timbrado_Metropolitan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628649" y="952500"/>
          <a:ext cx="2590801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2981324</xdr:colOff>
      <xdr:row>2</xdr:row>
      <xdr:rowOff>371475</xdr:rowOff>
    </xdr:from>
    <xdr:to>
      <xdr:col>4</xdr:col>
      <xdr:colOff>247650</xdr:colOff>
      <xdr:row>6</xdr:row>
      <xdr:rowOff>276225</xdr:rowOff>
    </xdr:to>
    <xdr:pic>
      <xdr:nvPicPr>
        <xdr:cNvPr id="5" name="Imagen 2" descr="Logo2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962025"/>
          <a:ext cx="3028951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delacruzr/Desktop/A&#209;O%202021/LIBRO%20BANCO%202021/LIBRO%20DE%20BANC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VENCION"/>
      <sheetName val="OPERATIVA"/>
      <sheetName val="Hoja3"/>
      <sheetName val="UNICA"/>
      <sheetName val="COPIA CUENTA UNICA MES OCTUBRE."/>
      <sheetName val="Hoja1"/>
      <sheetName val="Hoja2"/>
      <sheetName val="Hoja5"/>
    </sheetNames>
    <sheetDataSet>
      <sheetData sheetId="0">
        <row r="73">
          <cell r="G73">
            <v>105380.33000003162</v>
          </cell>
        </row>
      </sheetData>
      <sheetData sheetId="1">
        <row r="253">
          <cell r="G253">
            <v>10814438.029249961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V360"/>
  <sheetViews>
    <sheetView topLeftCell="A7" zoomScaleNormal="100" workbookViewId="0">
      <selection activeCell="D7" sqref="D7"/>
    </sheetView>
  </sheetViews>
  <sheetFormatPr baseColWidth="10" defaultRowHeight="15" x14ac:dyDescent="0.25"/>
  <cols>
    <col min="1" max="1" width="13" customWidth="1"/>
    <col min="2" max="2" width="10" customWidth="1"/>
    <col min="3" max="3" width="36.42578125" customWidth="1"/>
    <col min="4" max="4" width="61" bestFit="1" customWidth="1"/>
    <col min="5" max="5" width="18.28515625" customWidth="1"/>
    <col min="6" max="6" width="16.140625" customWidth="1"/>
    <col min="7" max="7" width="15.85546875" bestFit="1" customWidth="1"/>
    <col min="8" max="8" width="21.7109375" customWidth="1"/>
  </cols>
  <sheetData>
    <row r="2" spans="1:7" x14ac:dyDescent="0.25">
      <c r="A2" s="245" t="s">
        <v>0</v>
      </c>
      <c r="B2" s="245"/>
      <c r="C2" s="245"/>
      <c r="D2" s="245"/>
      <c r="E2" s="245"/>
      <c r="F2" s="245"/>
      <c r="G2" s="245"/>
    </row>
    <row r="3" spans="1:7" x14ac:dyDescent="0.25">
      <c r="A3" s="245" t="s">
        <v>1</v>
      </c>
      <c r="B3" s="245"/>
      <c r="C3" s="245"/>
      <c r="D3" s="245"/>
      <c r="E3" s="245"/>
      <c r="F3" s="245"/>
      <c r="G3" s="245"/>
    </row>
    <row r="4" spans="1:7" x14ac:dyDescent="0.25">
      <c r="A4" s="246" t="s">
        <v>2</v>
      </c>
      <c r="B4" s="246"/>
      <c r="C4" s="246"/>
      <c r="D4" s="246"/>
      <c r="E4" s="246"/>
      <c r="F4" s="246"/>
      <c r="G4" s="246"/>
    </row>
    <row r="5" spans="1:7" x14ac:dyDescent="0.25">
      <c r="A5" s="247" t="s">
        <v>3</v>
      </c>
      <c r="B5" s="247"/>
      <c r="C5" s="247"/>
      <c r="D5" s="247"/>
      <c r="E5" s="247"/>
      <c r="F5" s="247"/>
      <c r="G5" s="247"/>
    </row>
    <row r="6" spans="1:7" x14ac:dyDescent="0.25">
      <c r="A6" s="248"/>
      <c r="B6" s="248"/>
      <c r="C6" s="248"/>
      <c r="D6" s="248"/>
      <c r="E6" s="248"/>
      <c r="F6" s="248"/>
      <c r="G6" s="248"/>
    </row>
    <row r="8" spans="1:7" x14ac:dyDescent="0.25">
      <c r="A8" s="47"/>
      <c r="B8" s="47"/>
      <c r="C8" s="47"/>
      <c r="D8" s="47"/>
      <c r="E8" s="111"/>
      <c r="F8" s="47"/>
      <c r="G8" s="47"/>
    </row>
    <row r="9" spans="1:7" s="65" customFormat="1" ht="23.25" x14ac:dyDescent="0.25">
      <c r="A9" s="244" t="s">
        <v>4</v>
      </c>
      <c r="B9" s="244"/>
      <c r="C9" s="244"/>
      <c r="D9" s="244"/>
      <c r="E9" s="244"/>
      <c r="F9" s="244"/>
      <c r="G9" s="244"/>
    </row>
    <row r="10" spans="1:7" s="65" customFormat="1" x14ac:dyDescent="0.25">
      <c r="A10" s="146"/>
      <c r="B10" s="146"/>
      <c r="C10" s="147"/>
      <c r="D10" s="147"/>
      <c r="E10" s="146"/>
      <c r="F10" s="146"/>
      <c r="G10" s="146"/>
    </row>
    <row r="11" spans="1:7" s="65" customFormat="1" ht="36.75" customHeight="1" x14ac:dyDescent="0.25">
      <c r="A11" s="150" t="s">
        <v>5</v>
      </c>
      <c r="B11" s="150" t="s">
        <v>6</v>
      </c>
      <c r="C11" s="150" t="s">
        <v>7</v>
      </c>
      <c r="D11" s="150" t="s">
        <v>8</v>
      </c>
      <c r="E11" s="151" t="s">
        <v>9</v>
      </c>
      <c r="F11" s="152" t="s">
        <v>10</v>
      </c>
      <c r="G11" s="153" t="s">
        <v>11</v>
      </c>
    </row>
    <row r="12" spans="1:7" s="65" customFormat="1" ht="15.75" hidden="1" customHeight="1" x14ac:dyDescent="0.25">
      <c r="A12" s="123"/>
      <c r="B12" s="123"/>
      <c r="C12" s="123"/>
      <c r="D12" s="85" t="s">
        <v>378</v>
      </c>
      <c r="E12" s="36"/>
      <c r="F12" s="1"/>
      <c r="G12" s="148">
        <f>+[1]SUBVENCION!$G$73</f>
        <v>105380.33000003162</v>
      </c>
    </row>
    <row r="13" spans="1:7" s="65" customFormat="1" ht="16.5" hidden="1" customHeight="1" x14ac:dyDescent="0.25">
      <c r="A13" s="136">
        <v>44713</v>
      </c>
      <c r="B13" s="137">
        <v>2273</v>
      </c>
      <c r="C13" s="138" t="s">
        <v>101</v>
      </c>
      <c r="D13" s="138" t="s">
        <v>379</v>
      </c>
      <c r="E13" s="139"/>
      <c r="F13" s="140">
        <v>70464.62</v>
      </c>
      <c r="G13" s="143">
        <f>+G12+E13-F13</f>
        <v>34915.710000031628</v>
      </c>
    </row>
    <row r="14" spans="1:7" s="65" customFormat="1" ht="39" hidden="1" customHeight="1" x14ac:dyDescent="0.25">
      <c r="A14" s="126">
        <v>44896</v>
      </c>
      <c r="B14" s="123"/>
      <c r="C14" s="128" t="s">
        <v>12</v>
      </c>
      <c r="D14" s="127" t="s">
        <v>404</v>
      </c>
      <c r="E14" s="124">
        <v>100000</v>
      </c>
      <c r="F14" s="125"/>
      <c r="G14" s="124">
        <f>+G13+E14-F14</f>
        <v>134915.71000003163</v>
      </c>
    </row>
    <row r="15" spans="1:7" s="65" customFormat="1" ht="19.5" hidden="1" customHeight="1" x14ac:dyDescent="0.25">
      <c r="A15" s="136">
        <v>44896</v>
      </c>
      <c r="B15" s="137">
        <v>2274</v>
      </c>
      <c r="C15" s="138" t="s">
        <v>101</v>
      </c>
      <c r="D15" s="138" t="s">
        <v>44</v>
      </c>
      <c r="E15" s="139"/>
      <c r="F15" s="139">
        <v>0</v>
      </c>
      <c r="G15" s="143">
        <f t="shared" ref="G15:G20" si="0">+G14+E15-F15</f>
        <v>134915.71000003163</v>
      </c>
    </row>
    <row r="16" spans="1:7" s="65" customFormat="1" ht="19.5" hidden="1" customHeight="1" x14ac:dyDescent="0.25">
      <c r="A16" s="18" t="s">
        <v>385</v>
      </c>
      <c r="B16" s="37"/>
      <c r="C16" s="129" t="s">
        <v>13</v>
      </c>
      <c r="D16" s="129" t="s">
        <v>386</v>
      </c>
      <c r="E16" s="36">
        <v>19858</v>
      </c>
      <c r="F16" s="125"/>
      <c r="G16" s="124">
        <f t="shared" si="0"/>
        <v>154773.71000003163</v>
      </c>
    </row>
    <row r="17" spans="1:48" s="65" customFormat="1" ht="19.5" hidden="1" customHeight="1" x14ac:dyDescent="0.25">
      <c r="A17" s="136" t="s">
        <v>381</v>
      </c>
      <c r="B17" s="137">
        <v>2275</v>
      </c>
      <c r="C17" s="138" t="s">
        <v>101</v>
      </c>
      <c r="D17" s="138" t="s">
        <v>387</v>
      </c>
      <c r="E17" s="139"/>
      <c r="F17" s="140">
        <v>75000</v>
      </c>
      <c r="G17" s="143">
        <f t="shared" si="0"/>
        <v>79773.710000031628</v>
      </c>
    </row>
    <row r="18" spans="1:48" s="141" customFormat="1" ht="15.75" hidden="1" x14ac:dyDescent="0.25">
      <c r="A18" s="136" t="s">
        <v>403</v>
      </c>
      <c r="B18" s="137"/>
      <c r="C18" s="138" t="s">
        <v>12</v>
      </c>
      <c r="D18" s="138" t="s">
        <v>404</v>
      </c>
      <c r="E18" s="139">
        <v>100000</v>
      </c>
      <c r="F18" s="140"/>
      <c r="G18" s="143">
        <f t="shared" si="0"/>
        <v>179773.71000003163</v>
      </c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</row>
    <row r="19" spans="1:48" s="135" customFormat="1" ht="15.75" hidden="1" x14ac:dyDescent="0.25">
      <c r="A19" s="136" t="s">
        <v>505</v>
      </c>
      <c r="B19" s="137"/>
      <c r="C19" s="138" t="s">
        <v>554</v>
      </c>
      <c r="D19" s="138" t="s">
        <v>559</v>
      </c>
      <c r="E19" s="139"/>
      <c r="F19" s="140">
        <v>218.2</v>
      </c>
      <c r="G19" s="139">
        <f t="shared" si="0"/>
        <v>179555.51000003162</v>
      </c>
    </row>
    <row r="20" spans="1:48" s="135" customFormat="1" ht="15.75" hidden="1" x14ac:dyDescent="0.25">
      <c r="A20" s="136" t="s">
        <v>505</v>
      </c>
      <c r="B20" s="137"/>
      <c r="C20" s="138" t="s">
        <v>554</v>
      </c>
      <c r="D20" s="138" t="s">
        <v>560</v>
      </c>
      <c r="E20" s="139"/>
      <c r="F20" s="140">
        <v>175</v>
      </c>
      <c r="G20" s="143">
        <f t="shared" si="0"/>
        <v>179380.51000003162</v>
      </c>
    </row>
    <row r="21" spans="1:48" s="135" customFormat="1" ht="19.5" hidden="1" customHeight="1" thickBot="1" x14ac:dyDescent="0.3">
      <c r="A21" s="130"/>
      <c r="B21" s="131"/>
      <c r="C21" s="132"/>
      <c r="D21" s="132"/>
      <c r="E21" s="160"/>
      <c r="F21" s="161">
        <f>F19+F2+F20</f>
        <v>393.2</v>
      </c>
      <c r="G21" s="133"/>
    </row>
    <row r="22" spans="1:48" s="135" customFormat="1" ht="19.5" hidden="1" customHeight="1" thickTop="1" x14ac:dyDescent="0.25">
      <c r="A22" s="130"/>
      <c r="B22" s="131"/>
      <c r="C22" s="132"/>
      <c r="D22" s="132"/>
      <c r="E22" s="133"/>
      <c r="F22" s="149"/>
      <c r="G22" s="133"/>
    </row>
    <row r="23" spans="1:48" s="135" customFormat="1" ht="31.5" hidden="1" x14ac:dyDescent="0.25">
      <c r="A23" s="136">
        <v>44744</v>
      </c>
      <c r="B23" s="137">
        <v>2276</v>
      </c>
      <c r="C23" s="138" t="s">
        <v>101</v>
      </c>
      <c r="D23" s="138" t="s">
        <v>650</v>
      </c>
      <c r="E23" s="139"/>
      <c r="F23" s="122">
        <v>66638.05</v>
      </c>
      <c r="G23" s="143">
        <f>G20+E23-F23</f>
        <v>112742.46000003161</v>
      </c>
    </row>
    <row r="24" spans="1:48" s="135" customFormat="1" ht="15.75" hidden="1" x14ac:dyDescent="0.25">
      <c r="A24" s="136" t="s">
        <v>654</v>
      </c>
      <c r="B24" s="137"/>
      <c r="C24" s="138" t="s">
        <v>554</v>
      </c>
      <c r="D24" s="138" t="s">
        <v>559</v>
      </c>
      <c r="E24" s="139"/>
      <c r="F24" s="140">
        <v>99.96</v>
      </c>
      <c r="G24" s="139">
        <f>G23+E24-F24</f>
        <v>112642.50000003161</v>
      </c>
    </row>
    <row r="25" spans="1:48" s="135" customFormat="1" ht="15.75" hidden="1" x14ac:dyDescent="0.25">
      <c r="A25" s="136" t="s">
        <v>654</v>
      </c>
      <c r="B25" s="137"/>
      <c r="C25" s="138" t="s">
        <v>554</v>
      </c>
      <c r="D25" s="138" t="s">
        <v>560</v>
      </c>
      <c r="E25" s="139"/>
      <c r="F25" s="140">
        <v>175</v>
      </c>
      <c r="G25" s="143">
        <f>G24+E25-F25</f>
        <v>112467.50000003161</v>
      </c>
    </row>
    <row r="26" spans="1:48" s="135" customFormat="1" ht="19.5" hidden="1" customHeight="1" thickBot="1" x14ac:dyDescent="0.3">
      <c r="A26" s="130"/>
      <c r="B26" s="131"/>
      <c r="C26" s="132"/>
      <c r="D26" s="132"/>
      <c r="E26" s="168"/>
      <c r="F26" s="169">
        <f>F23</f>
        <v>66638.05</v>
      </c>
      <c r="G26" s="133"/>
    </row>
    <row r="27" spans="1:48" s="135" customFormat="1" ht="19.5" hidden="1" customHeight="1" thickTop="1" x14ac:dyDescent="0.25">
      <c r="A27" s="130"/>
      <c r="B27" s="131"/>
      <c r="C27" s="132"/>
      <c r="D27" s="132"/>
      <c r="E27" s="133"/>
      <c r="F27" s="149"/>
      <c r="G27" s="133"/>
    </row>
    <row r="28" spans="1:48" s="135" customFormat="1" ht="19.5" hidden="1" customHeight="1" x14ac:dyDescent="0.25">
      <c r="A28" s="130"/>
      <c r="B28" s="131"/>
      <c r="C28" s="132"/>
      <c r="D28" s="132"/>
      <c r="E28" s="133"/>
      <c r="F28" s="149"/>
      <c r="G28" s="133"/>
    </row>
    <row r="29" spans="1:48" s="135" customFormat="1" ht="46.5" hidden="1" customHeight="1" x14ac:dyDescent="0.25">
      <c r="A29" s="136" t="s">
        <v>925</v>
      </c>
      <c r="B29" s="137">
        <v>2277</v>
      </c>
      <c r="C29" s="138" t="s">
        <v>101</v>
      </c>
      <c r="D29" s="138" t="s">
        <v>912</v>
      </c>
      <c r="E29" s="139"/>
      <c r="F29" s="122">
        <v>60207.35</v>
      </c>
      <c r="G29" s="110">
        <f>G25+E29-F29</f>
        <v>52260.150000031608</v>
      </c>
    </row>
    <row r="30" spans="1:48" s="135" customFormat="1" ht="19.5" hidden="1" customHeight="1" x14ac:dyDescent="0.25">
      <c r="A30" s="136" t="s">
        <v>972</v>
      </c>
      <c r="B30" s="137"/>
      <c r="C30" s="138" t="s">
        <v>554</v>
      </c>
      <c r="D30" s="138" t="s">
        <v>559</v>
      </c>
      <c r="E30" s="139"/>
      <c r="F30" s="140">
        <v>90.31</v>
      </c>
      <c r="G30" s="120">
        <f>G29+E30-F30</f>
        <v>52169.840000031611</v>
      </c>
    </row>
    <row r="31" spans="1:48" s="135" customFormat="1" ht="19.5" hidden="1" customHeight="1" x14ac:dyDescent="0.25">
      <c r="A31" s="136" t="s">
        <v>972</v>
      </c>
      <c r="B31" s="137"/>
      <c r="C31" s="138" t="s">
        <v>554</v>
      </c>
      <c r="D31" s="138" t="s">
        <v>560</v>
      </c>
      <c r="E31" s="139"/>
      <c r="F31" s="140">
        <v>175</v>
      </c>
      <c r="G31" s="110">
        <f>G30+E31-F31</f>
        <v>51994.840000031611</v>
      </c>
    </row>
    <row r="32" spans="1:48" s="135" customFormat="1" ht="19.5" hidden="1" customHeight="1" thickBot="1" x14ac:dyDescent="0.3">
      <c r="A32" s="130"/>
      <c r="B32" s="131"/>
      <c r="C32" s="132"/>
      <c r="D32" s="132"/>
      <c r="E32" s="133"/>
      <c r="F32" s="169">
        <v>60207.35</v>
      </c>
      <c r="G32" s="184"/>
    </row>
    <row r="33" spans="1:7" s="135" customFormat="1" ht="19.5" hidden="1" customHeight="1" thickTop="1" x14ac:dyDescent="0.25">
      <c r="A33" s="130"/>
      <c r="B33" s="131"/>
      <c r="C33" s="132"/>
      <c r="D33" s="132"/>
      <c r="E33" s="133"/>
      <c r="F33" s="134"/>
      <c r="G33" s="184"/>
    </row>
    <row r="34" spans="1:7" s="135" customFormat="1" ht="19.5" hidden="1" customHeight="1" x14ac:dyDescent="0.25">
      <c r="A34" s="130"/>
      <c r="B34" s="131"/>
      <c r="C34" s="132"/>
      <c r="D34" s="132"/>
      <c r="E34" s="133"/>
      <c r="F34" s="134"/>
      <c r="G34" s="184"/>
    </row>
    <row r="35" spans="1:7" s="135" customFormat="1" ht="19.5" hidden="1" customHeight="1" x14ac:dyDescent="0.25">
      <c r="A35" s="136" t="s">
        <v>1252</v>
      </c>
      <c r="B35" s="137"/>
      <c r="C35" s="138" t="s">
        <v>554</v>
      </c>
      <c r="D35" s="138" t="s">
        <v>1257</v>
      </c>
      <c r="E35" s="139"/>
      <c r="F35" s="140">
        <v>175</v>
      </c>
      <c r="G35" s="110">
        <f>G31+E35-F35</f>
        <v>51819.840000031611</v>
      </c>
    </row>
    <row r="36" spans="1:7" s="135" customFormat="1" ht="19.5" hidden="1" customHeight="1" x14ac:dyDescent="0.25">
      <c r="A36" s="130"/>
      <c r="B36" s="131"/>
      <c r="C36" s="132"/>
      <c r="D36" s="132"/>
      <c r="E36" s="133"/>
      <c r="F36" s="134"/>
      <c r="G36" s="184"/>
    </row>
    <row r="37" spans="1:7" s="135" customFormat="1" ht="19.5" hidden="1" customHeight="1" x14ac:dyDescent="0.25">
      <c r="A37" s="130"/>
      <c r="B37" s="131"/>
      <c r="C37" s="132"/>
      <c r="D37" s="132"/>
      <c r="E37" s="133"/>
      <c r="F37" s="134"/>
      <c r="G37" s="184"/>
    </row>
    <row r="38" spans="1:7" s="135" customFormat="1" ht="19.5" customHeight="1" x14ac:dyDescent="0.25">
      <c r="A38" s="130"/>
      <c r="B38" s="131"/>
      <c r="C38" s="132"/>
      <c r="D38" s="132"/>
      <c r="E38" s="133"/>
      <c r="F38" s="134"/>
      <c r="G38" s="184"/>
    </row>
    <row r="39" spans="1:7" s="135" customFormat="1" ht="19.5" customHeight="1" x14ac:dyDescent="0.25">
      <c r="A39" s="136"/>
      <c r="B39" s="137"/>
      <c r="C39" s="138"/>
      <c r="D39" s="138"/>
      <c r="E39" s="139"/>
      <c r="F39" s="140"/>
      <c r="G39" s="110"/>
    </row>
    <row r="40" spans="1:7" s="135" customFormat="1" ht="19.5" customHeight="1" x14ac:dyDescent="0.25">
      <c r="A40" s="136" t="s">
        <v>1256</v>
      </c>
      <c r="B40" s="137"/>
      <c r="C40" s="204" t="s">
        <v>12</v>
      </c>
      <c r="D40" s="138" t="s">
        <v>404</v>
      </c>
      <c r="E40" s="120">
        <v>100000</v>
      </c>
      <c r="F40" s="140"/>
      <c r="G40" s="120">
        <f>G35+E40-F40</f>
        <v>151819.8400000316</v>
      </c>
    </row>
    <row r="41" spans="1:7" s="135" customFormat="1" ht="19.5" customHeight="1" x14ac:dyDescent="0.25">
      <c r="A41" s="84" t="s">
        <v>1256</v>
      </c>
      <c r="B41" s="77">
        <v>2278</v>
      </c>
      <c r="C41" s="204" t="s">
        <v>44</v>
      </c>
      <c r="D41" s="138"/>
      <c r="E41" s="139"/>
      <c r="F41" s="139">
        <v>0</v>
      </c>
      <c r="G41" s="120">
        <f>G40+E41-F41</f>
        <v>151819.8400000316</v>
      </c>
    </row>
    <row r="42" spans="1:7" s="135" customFormat="1" ht="31.5" x14ac:dyDescent="0.25">
      <c r="A42" s="84" t="s">
        <v>1256</v>
      </c>
      <c r="B42" s="77">
        <v>2279</v>
      </c>
      <c r="C42" s="129" t="s">
        <v>101</v>
      </c>
      <c r="D42" s="138" t="s">
        <v>1293</v>
      </c>
      <c r="E42" s="139"/>
      <c r="F42" s="122">
        <v>60908.81</v>
      </c>
      <c r="G42" s="110">
        <f t="shared" ref="G42:G52" si="1">G41+E42-F42</f>
        <v>90911.030000031606</v>
      </c>
    </row>
    <row r="43" spans="1:7" s="135" customFormat="1" ht="19.5" customHeight="1" x14ac:dyDescent="0.25">
      <c r="A43" s="136" t="s">
        <v>1375</v>
      </c>
      <c r="B43" s="137"/>
      <c r="C43" s="138" t="s">
        <v>1376</v>
      </c>
      <c r="D43" s="204" t="s">
        <v>1367</v>
      </c>
      <c r="E43" s="139">
        <v>8208</v>
      </c>
      <c r="F43" s="140"/>
      <c r="G43" s="120">
        <f t="shared" si="1"/>
        <v>99119.030000031606</v>
      </c>
    </row>
    <row r="44" spans="1:7" s="135" customFormat="1" ht="19.5" customHeight="1" x14ac:dyDescent="0.25">
      <c r="A44" s="136" t="s">
        <v>1375</v>
      </c>
      <c r="B44" s="137"/>
      <c r="C44" s="138" t="s">
        <v>1376</v>
      </c>
      <c r="D44" s="204" t="s">
        <v>1368</v>
      </c>
      <c r="E44" s="139">
        <v>366.65</v>
      </c>
      <c r="F44" s="140"/>
      <c r="G44" s="120">
        <f t="shared" si="1"/>
        <v>99485.6800000316</v>
      </c>
    </row>
    <row r="45" spans="1:7" s="135" customFormat="1" ht="19.5" customHeight="1" x14ac:dyDescent="0.25">
      <c r="A45" s="136" t="s">
        <v>1375</v>
      </c>
      <c r="B45" s="137"/>
      <c r="C45" s="138" t="s">
        <v>1376</v>
      </c>
      <c r="D45" s="204" t="s">
        <v>1369</v>
      </c>
      <c r="E45" s="139">
        <v>952.88</v>
      </c>
      <c r="F45" s="140"/>
      <c r="G45" s="120">
        <f>G44+E45-F45</f>
        <v>100438.5600000316</v>
      </c>
    </row>
    <row r="46" spans="1:7" s="135" customFormat="1" ht="19.5" customHeight="1" x14ac:dyDescent="0.25">
      <c r="A46" s="136" t="s">
        <v>1375</v>
      </c>
      <c r="B46" s="137"/>
      <c r="C46" s="138" t="s">
        <v>1376</v>
      </c>
      <c r="D46" s="204" t="s">
        <v>1370</v>
      </c>
      <c r="E46" s="139">
        <v>59967.64</v>
      </c>
      <c r="F46" s="140"/>
      <c r="G46" s="120">
        <f t="shared" si="1"/>
        <v>160406.20000003162</v>
      </c>
    </row>
    <row r="47" spans="1:7" s="135" customFormat="1" ht="19.5" customHeight="1" x14ac:dyDescent="0.25">
      <c r="A47" s="136" t="s">
        <v>1375</v>
      </c>
      <c r="B47" s="137"/>
      <c r="C47" s="138" t="s">
        <v>1376</v>
      </c>
      <c r="D47" s="204" t="s">
        <v>1371</v>
      </c>
      <c r="E47" s="139">
        <v>16500</v>
      </c>
      <c r="F47" s="140"/>
      <c r="G47" s="120">
        <f t="shared" si="1"/>
        <v>176906.20000003162</v>
      </c>
    </row>
    <row r="48" spans="1:7" s="135" customFormat="1" ht="19.5" customHeight="1" x14ac:dyDescent="0.25">
      <c r="A48" s="136" t="s">
        <v>1375</v>
      </c>
      <c r="B48" s="137"/>
      <c r="C48" s="138" t="s">
        <v>1376</v>
      </c>
      <c r="D48" s="204" t="s">
        <v>1372</v>
      </c>
      <c r="E48" s="139">
        <v>10553.3</v>
      </c>
      <c r="F48" s="140"/>
      <c r="G48" s="120">
        <f t="shared" si="1"/>
        <v>187459.50000003161</v>
      </c>
    </row>
    <row r="49" spans="1:48" s="135" customFormat="1" ht="19.5" customHeight="1" x14ac:dyDescent="0.25">
      <c r="A49" s="136" t="s">
        <v>1375</v>
      </c>
      <c r="B49" s="137"/>
      <c r="C49" s="138" t="s">
        <v>1376</v>
      </c>
      <c r="D49" s="204" t="s">
        <v>1373</v>
      </c>
      <c r="E49" s="139">
        <v>6091.37</v>
      </c>
      <c r="F49" s="140"/>
      <c r="G49" s="120">
        <f t="shared" si="1"/>
        <v>193550.8700000316</v>
      </c>
    </row>
    <row r="50" spans="1:48" s="135" customFormat="1" ht="19.5" customHeight="1" x14ac:dyDescent="0.25">
      <c r="A50" s="136" t="s">
        <v>1375</v>
      </c>
      <c r="B50" s="137"/>
      <c r="C50" s="138" t="s">
        <v>1376</v>
      </c>
      <c r="D50" s="204" t="s">
        <v>1374</v>
      </c>
      <c r="E50" s="139">
        <v>10659.9</v>
      </c>
      <c r="F50" s="140"/>
      <c r="G50" s="110">
        <f t="shared" si="1"/>
        <v>204210.7700000316</v>
      </c>
    </row>
    <row r="51" spans="1:48" s="135" customFormat="1" ht="19.5" customHeight="1" x14ac:dyDescent="0.25">
      <c r="A51" s="136">
        <v>44712</v>
      </c>
      <c r="B51" s="137"/>
      <c r="C51" s="138" t="s">
        <v>554</v>
      </c>
      <c r="D51" s="204" t="s">
        <v>559</v>
      </c>
      <c r="E51" s="139"/>
      <c r="F51" s="140">
        <v>91.36</v>
      </c>
      <c r="G51" s="110">
        <f t="shared" si="1"/>
        <v>204119.41000003161</v>
      </c>
    </row>
    <row r="52" spans="1:48" s="135" customFormat="1" ht="19.5" customHeight="1" x14ac:dyDescent="0.25">
      <c r="A52" s="136">
        <v>44712</v>
      </c>
      <c r="B52" s="137"/>
      <c r="C52" s="138" t="s">
        <v>554</v>
      </c>
      <c r="D52" s="204" t="s">
        <v>560</v>
      </c>
      <c r="E52" s="139"/>
      <c r="F52" s="140">
        <v>175</v>
      </c>
      <c r="G52" s="110">
        <f t="shared" si="1"/>
        <v>203944.41000003161</v>
      </c>
    </row>
    <row r="53" spans="1:48" s="135" customFormat="1" ht="19.5" customHeight="1" x14ac:dyDescent="0.25">
      <c r="A53" s="130"/>
      <c r="B53" s="131"/>
      <c r="C53" s="132"/>
      <c r="D53" s="216"/>
      <c r="E53" s="133"/>
      <c r="F53" s="134"/>
      <c r="G53" s="184"/>
    </row>
    <row r="54" spans="1:48" s="135" customFormat="1" ht="19.5" customHeight="1" thickBot="1" x14ac:dyDescent="0.3">
      <c r="A54" s="130"/>
      <c r="B54" s="131"/>
      <c r="C54" s="132"/>
      <c r="D54" s="216"/>
      <c r="E54" s="217">
        <f>SUM(E40:E50)</f>
        <v>213299.73999999996</v>
      </c>
      <c r="F54" s="169">
        <f>SUM(F41:F52)</f>
        <v>61175.17</v>
      </c>
      <c r="G54" s="175"/>
    </row>
    <row r="55" spans="1:48" s="135" customFormat="1" ht="19.5" customHeight="1" thickTop="1" x14ac:dyDescent="0.25">
      <c r="A55" s="130"/>
      <c r="B55" s="131"/>
      <c r="C55" s="132"/>
      <c r="D55" s="216"/>
      <c r="E55" s="133"/>
      <c r="F55" s="134"/>
      <c r="G55" s="175"/>
    </row>
    <row r="56" spans="1:48" s="135" customFormat="1" ht="19.5" customHeight="1" x14ac:dyDescent="0.25">
      <c r="A56" s="130"/>
      <c r="B56" s="131"/>
      <c r="C56" s="132"/>
      <c r="D56" s="216"/>
      <c r="E56" s="133"/>
      <c r="F56" s="134"/>
      <c r="G56" s="175"/>
    </row>
    <row r="57" spans="1:48" s="135" customFormat="1" ht="19.5" customHeight="1" x14ac:dyDescent="0.25">
      <c r="A57" s="130"/>
      <c r="B57" s="131"/>
      <c r="C57" s="132"/>
      <c r="D57" s="132"/>
      <c r="E57" s="133"/>
      <c r="F57" s="134"/>
      <c r="G57" s="175"/>
    </row>
    <row r="58" spans="1:48" s="135" customFormat="1" ht="19.5" customHeight="1" x14ac:dyDescent="0.25">
      <c r="A58" s="130"/>
      <c r="B58" s="131"/>
      <c r="C58" s="132"/>
      <c r="D58" s="132"/>
      <c r="E58" s="133"/>
      <c r="F58" s="134"/>
      <c r="G58" s="175"/>
    </row>
    <row r="59" spans="1:48" s="135" customFormat="1" ht="19.5" customHeight="1" x14ac:dyDescent="0.25">
      <c r="A59" s="130"/>
      <c r="B59" s="131"/>
      <c r="C59" s="132"/>
      <c r="D59" s="132"/>
      <c r="E59" s="133"/>
      <c r="F59" s="134"/>
      <c r="G59" s="175"/>
    </row>
    <row r="60" spans="1:48" s="135" customFormat="1" ht="19.5" customHeight="1" x14ac:dyDescent="0.25">
      <c r="A60" s="6"/>
      <c r="B60" s="11"/>
      <c r="C60" s="12"/>
      <c r="D60" s="13" t="s">
        <v>65</v>
      </c>
      <c r="E60" s="34"/>
      <c r="F60" s="34" t="s">
        <v>85</v>
      </c>
      <c r="G60" s="83"/>
    </row>
    <row r="61" spans="1:48" s="135" customFormat="1" ht="19.5" customHeight="1" x14ac:dyDescent="0.25">
      <c r="A61" s="6"/>
      <c r="B61" s="12" t="s">
        <v>14</v>
      </c>
      <c r="C61" s="12"/>
      <c r="D61" s="46" t="s">
        <v>15</v>
      </c>
      <c r="E61" s="63" t="s">
        <v>45</v>
      </c>
      <c r="F61" s="63"/>
      <c r="G61" s="64"/>
    </row>
    <row r="62" spans="1:48" s="135" customFormat="1" ht="19.5" customHeight="1" x14ac:dyDescent="0.25">
      <c r="A62" s="6"/>
      <c r="B62" s="12" t="s">
        <v>16</v>
      </c>
      <c r="C62" s="12"/>
      <c r="D62" s="46" t="s">
        <v>17</v>
      </c>
      <c r="E62" s="65"/>
      <c r="F62" s="64" t="s">
        <v>29</v>
      </c>
      <c r="G62" s="66"/>
    </row>
    <row r="63" spans="1:48" s="135" customFormat="1" ht="19.5" customHeight="1" x14ac:dyDescent="0.25">
      <c r="A63" s="6"/>
      <c r="B63" s="12"/>
      <c r="C63" s="12"/>
      <c r="D63" s="46"/>
      <c r="E63" s="12"/>
      <c r="F63" s="12"/>
      <c r="G63" s="176"/>
    </row>
    <row r="64" spans="1:48" s="135" customFormat="1" ht="19.5" customHeight="1" x14ac:dyDescent="0.25">
      <c r="A64" s="6"/>
      <c r="B64" s="6"/>
      <c r="C64" s="6"/>
      <c r="D64" s="6"/>
      <c r="E64" s="6"/>
      <c r="F64" s="6"/>
      <c r="G64" s="6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s="135" customFormat="1" ht="19.5" customHeight="1" x14ac:dyDescent="0.25">
      <c r="A65" s="6"/>
      <c r="B65" s="6"/>
      <c r="C65" s="6"/>
      <c r="D65" s="6"/>
      <c r="E65" s="6"/>
      <c r="F65" s="6"/>
      <c r="G65" s="6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.75" x14ac:dyDescent="0.25">
      <c r="A66" s="6"/>
      <c r="B66" s="6"/>
      <c r="C66" s="6"/>
      <c r="D66" s="6"/>
      <c r="E66" s="6"/>
      <c r="F66" s="6"/>
      <c r="G66" s="6"/>
    </row>
    <row r="67" spans="1:48" ht="15.75" x14ac:dyDescent="0.25">
      <c r="A67" s="6"/>
      <c r="B67" s="6"/>
      <c r="C67" s="6"/>
      <c r="D67" s="6"/>
      <c r="E67" s="6"/>
      <c r="F67" s="6"/>
      <c r="G67" s="6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1:48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1:48" s="4" customFormat="1" ht="15.7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</row>
    <row r="70" spans="1:48" s="6" customFormat="1" ht="15.75" customHeight="1" x14ac:dyDescent="0.25"/>
    <row r="71" spans="1:48" s="6" customFormat="1" ht="15.75" customHeight="1" x14ac:dyDescent="0.25"/>
    <row r="72" spans="1:48" s="6" customFormat="1" ht="15.75" customHeight="1" x14ac:dyDescent="0.25"/>
    <row r="73" spans="1:48" s="6" customFormat="1" ht="15.75" customHeight="1" x14ac:dyDescent="0.25"/>
    <row r="74" spans="1:48" s="6" customFormat="1" ht="15.75" customHeight="1" x14ac:dyDescent="0.25"/>
    <row r="75" spans="1:48" s="6" customFormat="1" ht="15.75" customHeight="1" x14ac:dyDescent="0.25"/>
    <row r="76" spans="1:48" s="6" customFormat="1" ht="15.75" customHeight="1" x14ac:dyDescent="0.25"/>
    <row r="77" spans="1:48" s="6" customFormat="1" ht="15.75" customHeight="1" x14ac:dyDescent="0.25"/>
    <row r="78" spans="1:48" s="6" customFormat="1" ht="15.75" customHeight="1" x14ac:dyDescent="0.25"/>
    <row r="79" spans="1:48" s="6" customFormat="1" ht="15.75" customHeight="1" x14ac:dyDescent="0.25"/>
    <row r="80" spans="1:48" s="6" customFormat="1" ht="15.75" customHeight="1" x14ac:dyDescent="0.25"/>
    <row r="81" s="6" customFormat="1" ht="15.75" customHeight="1" x14ac:dyDescent="0.25"/>
    <row r="82" s="6" customFormat="1" ht="15.75" customHeight="1" x14ac:dyDescent="0.25"/>
    <row r="83" s="6" customFormat="1" ht="15.75" customHeight="1" x14ac:dyDescent="0.25"/>
    <row r="84" s="6" customFormat="1" ht="15" customHeight="1" x14ac:dyDescent="0.25"/>
    <row r="85" s="6" customFormat="1" ht="15" customHeight="1" x14ac:dyDescent="0.25"/>
    <row r="86" s="6" customFormat="1" ht="15" customHeight="1" x14ac:dyDescent="0.25"/>
    <row r="87" s="6" customFormat="1" ht="15" customHeight="1" x14ac:dyDescent="0.25"/>
    <row r="88" s="6" customFormat="1" ht="15" customHeight="1" x14ac:dyDescent="0.25"/>
    <row r="89" s="6" customFormat="1" ht="15" customHeight="1" x14ac:dyDescent="0.25"/>
    <row r="90" s="6" customFormat="1" ht="15" customHeight="1" x14ac:dyDescent="0.25"/>
    <row r="91" s="6" customFormat="1" ht="15" customHeight="1" x14ac:dyDescent="0.25"/>
    <row r="92" s="6" customFormat="1" ht="15" customHeight="1" x14ac:dyDescent="0.25"/>
    <row r="93" s="6" customFormat="1" ht="15" customHeight="1" x14ac:dyDescent="0.25"/>
    <row r="94" s="6" customFormat="1" ht="15" customHeight="1" x14ac:dyDescent="0.25"/>
    <row r="95" s="6" customFormat="1" ht="15" customHeight="1" x14ac:dyDescent="0.25"/>
    <row r="96" s="6" customFormat="1" ht="15" customHeight="1" x14ac:dyDescent="0.25"/>
    <row r="97" s="6" customFormat="1" ht="15" customHeight="1" x14ac:dyDescent="0.25"/>
    <row r="98" s="6" customFormat="1" ht="15" customHeight="1" x14ac:dyDescent="0.25"/>
    <row r="99" s="6" customFormat="1" ht="15" customHeight="1" x14ac:dyDescent="0.25"/>
    <row r="100" s="6" customFormat="1" ht="15" customHeight="1" x14ac:dyDescent="0.25"/>
    <row r="101" s="6" customFormat="1" ht="15" customHeight="1" x14ac:dyDescent="0.25"/>
    <row r="102" s="6" customFormat="1" ht="15" customHeight="1" x14ac:dyDescent="0.25"/>
    <row r="103" s="6" customFormat="1" ht="15" customHeight="1" x14ac:dyDescent="0.25"/>
    <row r="104" s="6" customFormat="1" ht="15" customHeight="1" x14ac:dyDescent="0.25"/>
    <row r="105" s="6" customFormat="1" ht="15" customHeight="1" x14ac:dyDescent="0.25"/>
    <row r="106" s="6" customFormat="1" ht="15" customHeight="1" x14ac:dyDescent="0.25"/>
    <row r="107" s="6" customFormat="1" ht="15" customHeight="1" x14ac:dyDescent="0.25"/>
    <row r="108" s="6" customFormat="1" ht="15" customHeight="1" x14ac:dyDescent="0.25"/>
    <row r="109" s="6" customFormat="1" ht="15" customHeight="1" x14ac:dyDescent="0.25"/>
    <row r="110" s="6" customFormat="1" ht="15" customHeight="1" x14ac:dyDescent="0.25"/>
    <row r="111" s="6" customFormat="1" ht="15" customHeight="1" x14ac:dyDescent="0.25"/>
    <row r="112" s="6" customFormat="1" ht="15" customHeight="1" x14ac:dyDescent="0.25"/>
    <row r="113" s="6" customFormat="1" ht="15" customHeight="1" x14ac:dyDescent="0.25"/>
    <row r="114" s="6" customFormat="1" ht="15" customHeight="1" x14ac:dyDescent="0.25"/>
    <row r="115" s="6" customFormat="1" ht="15" customHeight="1" x14ac:dyDescent="0.25"/>
    <row r="116" s="6" customFormat="1" ht="15" customHeight="1" x14ac:dyDescent="0.25"/>
    <row r="117" s="6" customFormat="1" ht="15" customHeight="1" x14ac:dyDescent="0.25"/>
    <row r="118" s="6" customFormat="1" ht="15" customHeight="1" x14ac:dyDescent="0.25"/>
    <row r="119" s="6" customFormat="1" ht="15" customHeight="1" x14ac:dyDescent="0.25"/>
    <row r="120" s="6" customFormat="1" ht="15" customHeight="1" x14ac:dyDescent="0.25"/>
    <row r="121" s="6" customFormat="1" ht="15" customHeight="1" x14ac:dyDescent="0.25"/>
    <row r="122" s="6" customFormat="1" ht="15" customHeight="1" x14ac:dyDescent="0.25"/>
    <row r="123" s="6" customFormat="1" ht="15" customHeight="1" x14ac:dyDescent="0.25"/>
    <row r="124" s="6" customFormat="1" ht="15" customHeight="1" x14ac:dyDescent="0.25"/>
    <row r="125" s="6" customFormat="1" ht="15" customHeight="1" x14ac:dyDescent="0.25"/>
    <row r="126" s="6" customFormat="1" ht="15" customHeight="1" x14ac:dyDescent="0.25"/>
    <row r="127" s="6" customFormat="1" ht="15" customHeight="1" x14ac:dyDescent="0.25"/>
    <row r="128" s="6" customFormat="1" ht="15" customHeight="1" x14ac:dyDescent="0.25"/>
    <row r="129" s="6" customFormat="1" ht="15" customHeight="1" x14ac:dyDescent="0.25"/>
    <row r="130" s="6" customFormat="1" ht="15" customHeight="1" x14ac:dyDescent="0.25"/>
    <row r="131" s="6" customFormat="1" ht="15" customHeight="1" x14ac:dyDescent="0.25"/>
    <row r="132" s="6" customFormat="1" ht="15" customHeight="1" x14ac:dyDescent="0.25"/>
    <row r="133" s="6" customFormat="1" ht="15" customHeight="1" x14ac:dyDescent="0.25"/>
    <row r="134" s="6" customFormat="1" ht="15" customHeight="1" x14ac:dyDescent="0.25"/>
    <row r="135" s="6" customFormat="1" ht="15" customHeight="1" x14ac:dyDescent="0.25"/>
    <row r="136" s="6" customFormat="1" ht="15" customHeight="1" x14ac:dyDescent="0.25"/>
    <row r="137" s="6" customFormat="1" ht="15" customHeight="1" x14ac:dyDescent="0.25"/>
    <row r="138" s="6" customFormat="1" ht="15" customHeight="1" x14ac:dyDescent="0.25"/>
    <row r="139" s="6" customFormat="1" ht="15" customHeight="1" x14ac:dyDescent="0.25"/>
    <row r="140" s="6" customFormat="1" ht="15" customHeight="1" x14ac:dyDescent="0.25"/>
    <row r="141" s="6" customFormat="1" ht="15" customHeight="1" x14ac:dyDescent="0.25"/>
    <row r="142" s="6" customFormat="1" ht="15" customHeight="1" x14ac:dyDescent="0.25"/>
    <row r="143" s="6" customFormat="1" ht="15" customHeight="1" x14ac:dyDescent="0.25"/>
    <row r="144" s="6" customFormat="1" ht="15" customHeight="1" x14ac:dyDescent="0.25"/>
    <row r="145" s="6" customFormat="1" ht="15" customHeight="1" x14ac:dyDescent="0.25"/>
    <row r="146" s="6" customFormat="1" ht="15" customHeight="1" x14ac:dyDescent="0.25"/>
    <row r="147" s="6" customFormat="1" ht="15" customHeight="1" x14ac:dyDescent="0.25"/>
    <row r="148" s="6" customFormat="1" ht="15" customHeight="1" x14ac:dyDescent="0.25"/>
    <row r="149" s="6" customFormat="1" ht="15" customHeight="1" x14ac:dyDescent="0.25"/>
    <row r="150" s="6" customFormat="1" ht="15" customHeight="1" x14ac:dyDescent="0.25"/>
    <row r="151" s="6" customFormat="1" ht="15" customHeight="1" x14ac:dyDescent="0.25"/>
    <row r="152" s="6" customFormat="1" ht="15" customHeight="1" x14ac:dyDescent="0.25"/>
    <row r="153" s="6" customFormat="1" ht="15" customHeight="1" x14ac:dyDescent="0.25"/>
    <row r="154" s="6" customFormat="1" ht="15" customHeight="1" x14ac:dyDescent="0.25"/>
    <row r="155" s="6" customFormat="1" ht="15" customHeight="1" x14ac:dyDescent="0.25"/>
    <row r="156" s="6" customFormat="1" ht="15" customHeight="1" x14ac:dyDescent="0.25"/>
    <row r="157" s="6" customFormat="1" ht="15" customHeight="1" x14ac:dyDescent="0.25"/>
    <row r="158" s="6" customFormat="1" ht="15" customHeight="1" x14ac:dyDescent="0.25"/>
    <row r="159" s="6" customFormat="1" ht="15" customHeight="1" x14ac:dyDescent="0.25"/>
    <row r="160" s="6" customFormat="1" ht="15" customHeight="1" x14ac:dyDescent="0.25"/>
    <row r="161" s="6" customFormat="1" ht="15" customHeight="1" x14ac:dyDescent="0.25"/>
    <row r="162" s="6" customFormat="1" ht="15" customHeight="1" x14ac:dyDescent="0.25"/>
    <row r="163" s="6" customFormat="1" ht="15" customHeight="1" x14ac:dyDescent="0.25"/>
    <row r="164" s="6" customFormat="1" ht="15" customHeight="1" x14ac:dyDescent="0.25"/>
    <row r="165" s="6" customFormat="1" ht="15" customHeight="1" x14ac:dyDescent="0.25"/>
    <row r="166" s="6" customFormat="1" ht="15" customHeight="1" x14ac:dyDescent="0.25"/>
    <row r="167" s="6" customFormat="1" ht="15" customHeight="1" x14ac:dyDescent="0.25"/>
    <row r="168" s="6" customFormat="1" ht="15" customHeight="1" x14ac:dyDescent="0.25"/>
    <row r="169" s="6" customFormat="1" ht="15" customHeight="1" x14ac:dyDescent="0.25"/>
    <row r="170" s="6" customFormat="1" ht="15" customHeight="1" x14ac:dyDescent="0.25"/>
    <row r="171" s="6" customFormat="1" ht="15" customHeight="1" x14ac:dyDescent="0.25"/>
    <row r="172" s="6" customFormat="1" ht="15" customHeight="1" x14ac:dyDescent="0.25"/>
    <row r="173" s="6" customFormat="1" ht="15" customHeight="1" x14ac:dyDescent="0.25"/>
    <row r="174" s="6" customFormat="1" ht="15" customHeight="1" x14ac:dyDescent="0.25"/>
    <row r="175" s="6" customFormat="1" ht="15" customHeight="1" x14ac:dyDescent="0.25"/>
    <row r="176" s="6" customFormat="1" ht="15" customHeight="1" x14ac:dyDescent="0.25"/>
    <row r="177" s="6" customFormat="1" ht="15" customHeight="1" x14ac:dyDescent="0.25"/>
    <row r="178" s="6" customFormat="1" ht="15" customHeight="1" x14ac:dyDescent="0.25"/>
    <row r="179" s="6" customFormat="1" ht="15" customHeight="1" x14ac:dyDescent="0.25"/>
    <row r="180" s="6" customFormat="1" ht="15" customHeight="1" x14ac:dyDescent="0.25"/>
    <row r="181" s="6" customFormat="1" ht="15" customHeight="1" x14ac:dyDescent="0.25"/>
    <row r="182" s="6" customFormat="1" ht="15" customHeight="1" x14ac:dyDescent="0.25"/>
    <row r="183" s="6" customFormat="1" ht="15" customHeight="1" x14ac:dyDescent="0.25"/>
    <row r="184" s="6" customFormat="1" ht="15" customHeight="1" x14ac:dyDescent="0.25"/>
    <row r="185" s="6" customFormat="1" ht="15" customHeight="1" x14ac:dyDescent="0.25"/>
    <row r="186" s="6" customFormat="1" ht="15" customHeight="1" x14ac:dyDescent="0.25"/>
    <row r="187" s="6" customFormat="1" ht="15" customHeight="1" x14ac:dyDescent="0.25"/>
    <row r="188" s="6" customFormat="1" ht="15" customHeight="1" x14ac:dyDescent="0.25"/>
    <row r="189" s="6" customFormat="1" ht="15" customHeight="1" x14ac:dyDescent="0.25"/>
    <row r="190" s="6" customFormat="1" ht="15" customHeight="1" x14ac:dyDescent="0.25"/>
    <row r="191" s="6" customFormat="1" ht="15" customHeight="1" x14ac:dyDescent="0.25"/>
    <row r="192" s="6" customFormat="1" ht="15" customHeight="1" x14ac:dyDescent="0.25"/>
    <row r="193" s="6" customFormat="1" ht="15" customHeight="1" x14ac:dyDescent="0.25"/>
    <row r="194" s="6" customFormat="1" ht="15" customHeight="1" x14ac:dyDescent="0.25"/>
    <row r="195" s="6" customFormat="1" ht="15" customHeight="1" x14ac:dyDescent="0.25"/>
    <row r="196" s="6" customFormat="1" ht="15" customHeight="1" x14ac:dyDescent="0.25"/>
    <row r="197" s="6" customFormat="1" ht="15" customHeight="1" x14ac:dyDescent="0.25"/>
    <row r="198" s="6" customFormat="1" ht="15" customHeight="1" x14ac:dyDescent="0.25"/>
    <row r="199" s="6" customFormat="1" ht="15" customHeight="1" x14ac:dyDescent="0.25"/>
    <row r="200" s="6" customFormat="1" ht="15" customHeight="1" x14ac:dyDescent="0.25"/>
    <row r="201" s="6" customFormat="1" ht="15" customHeight="1" x14ac:dyDescent="0.25"/>
    <row r="202" s="6" customFormat="1" ht="15" customHeight="1" x14ac:dyDescent="0.25"/>
    <row r="203" s="6" customFormat="1" ht="15" customHeight="1" x14ac:dyDescent="0.25"/>
    <row r="204" s="6" customFormat="1" ht="15" customHeight="1" x14ac:dyDescent="0.25"/>
    <row r="205" s="6" customFormat="1" ht="15" customHeight="1" x14ac:dyDescent="0.25"/>
    <row r="206" s="6" customFormat="1" ht="15" customHeight="1" x14ac:dyDescent="0.25"/>
    <row r="207" s="6" customFormat="1" ht="15" customHeight="1" x14ac:dyDescent="0.25"/>
    <row r="208" s="6" customFormat="1" ht="15" customHeight="1" x14ac:dyDescent="0.25"/>
    <row r="209" s="6" customFormat="1" ht="15" customHeight="1" x14ac:dyDescent="0.25"/>
    <row r="210" s="6" customFormat="1" ht="15" customHeight="1" x14ac:dyDescent="0.25"/>
    <row r="211" s="6" customFormat="1" ht="15" customHeight="1" x14ac:dyDescent="0.25"/>
    <row r="212" s="6" customFormat="1" ht="15" customHeight="1" x14ac:dyDescent="0.25"/>
    <row r="213" s="6" customFormat="1" ht="15" customHeight="1" x14ac:dyDescent="0.25"/>
    <row r="214" s="6" customFormat="1" ht="15" customHeight="1" x14ac:dyDescent="0.25"/>
    <row r="215" s="6" customFormat="1" ht="15" customHeight="1" x14ac:dyDescent="0.25"/>
    <row r="216" s="6" customFormat="1" ht="15" customHeight="1" x14ac:dyDescent="0.25"/>
    <row r="217" s="6" customFormat="1" ht="15" customHeight="1" x14ac:dyDescent="0.25"/>
    <row r="218" s="6" customFormat="1" ht="15" customHeight="1" x14ac:dyDescent="0.25"/>
    <row r="219" s="6" customFormat="1" ht="15" customHeight="1" x14ac:dyDescent="0.25"/>
    <row r="220" s="6" customFormat="1" ht="15" customHeight="1" x14ac:dyDescent="0.25"/>
    <row r="221" s="6" customFormat="1" ht="15" customHeight="1" x14ac:dyDescent="0.25"/>
    <row r="222" s="6" customFormat="1" ht="15" customHeight="1" x14ac:dyDescent="0.25"/>
    <row r="223" s="6" customFormat="1" ht="15" customHeight="1" x14ac:dyDescent="0.25"/>
    <row r="224" s="6" customFormat="1" ht="15" customHeight="1" x14ac:dyDescent="0.25"/>
    <row r="225" s="6" customFormat="1" ht="15" customHeight="1" x14ac:dyDescent="0.25"/>
    <row r="226" s="6" customFormat="1" ht="15" customHeight="1" x14ac:dyDescent="0.25"/>
    <row r="227" s="6" customFormat="1" ht="15" customHeight="1" x14ac:dyDescent="0.25"/>
    <row r="228" s="6" customFormat="1" ht="15" customHeight="1" x14ac:dyDescent="0.25"/>
    <row r="229" s="6" customFormat="1" ht="15" customHeight="1" x14ac:dyDescent="0.25"/>
    <row r="230" s="6" customFormat="1" ht="15" customHeight="1" x14ac:dyDescent="0.25"/>
    <row r="231" s="6" customFormat="1" ht="15" customHeight="1" x14ac:dyDescent="0.25"/>
    <row r="232" s="6" customFormat="1" ht="15" customHeight="1" x14ac:dyDescent="0.25"/>
    <row r="233" s="6" customFormat="1" ht="15" customHeight="1" x14ac:dyDescent="0.25"/>
    <row r="234" s="6" customFormat="1" ht="15" customHeight="1" x14ac:dyDescent="0.25"/>
    <row r="235" s="6" customFormat="1" ht="15" customHeight="1" x14ac:dyDescent="0.25"/>
    <row r="236" s="6" customFormat="1" ht="15" customHeight="1" x14ac:dyDescent="0.25"/>
    <row r="237" s="6" customFormat="1" ht="15" customHeight="1" x14ac:dyDescent="0.25"/>
    <row r="238" s="6" customFormat="1" ht="15" customHeight="1" x14ac:dyDescent="0.25"/>
    <row r="239" s="6" customFormat="1" ht="15" customHeight="1" x14ac:dyDescent="0.25"/>
    <row r="240" s="6" customFormat="1" ht="15" customHeight="1" x14ac:dyDescent="0.25"/>
    <row r="241" s="6" customFormat="1" ht="15" customHeight="1" x14ac:dyDescent="0.25"/>
    <row r="242" s="6" customFormat="1" ht="15" customHeight="1" x14ac:dyDescent="0.25"/>
    <row r="243" s="6" customFormat="1" ht="15" customHeight="1" x14ac:dyDescent="0.25"/>
    <row r="244" s="6" customFormat="1" ht="15" customHeight="1" x14ac:dyDescent="0.25"/>
    <row r="245" s="6" customFormat="1" ht="15" customHeight="1" x14ac:dyDescent="0.25"/>
    <row r="246" s="6" customFormat="1" ht="15" customHeight="1" x14ac:dyDescent="0.25"/>
    <row r="247" s="6" customFormat="1" ht="15" customHeight="1" x14ac:dyDescent="0.25"/>
    <row r="248" s="6" customFormat="1" ht="15" customHeight="1" x14ac:dyDescent="0.25"/>
    <row r="249" s="6" customFormat="1" ht="15" customHeight="1" x14ac:dyDescent="0.25"/>
    <row r="250" s="6" customFormat="1" ht="15" customHeight="1" x14ac:dyDescent="0.25"/>
    <row r="251" s="6" customFormat="1" ht="15" customHeight="1" x14ac:dyDescent="0.25"/>
    <row r="252" s="6" customFormat="1" ht="15" customHeight="1" x14ac:dyDescent="0.25"/>
    <row r="253" s="6" customFormat="1" ht="15" customHeight="1" x14ac:dyDescent="0.25"/>
    <row r="254" s="6" customFormat="1" ht="15" customHeight="1" x14ac:dyDescent="0.25"/>
    <row r="255" s="6" customFormat="1" ht="15" customHeight="1" x14ac:dyDescent="0.25"/>
    <row r="256" s="6" customFormat="1" ht="15" customHeight="1" x14ac:dyDescent="0.25"/>
    <row r="257" s="6" customFormat="1" ht="15" customHeight="1" x14ac:dyDescent="0.25"/>
    <row r="258" s="6" customFormat="1" ht="15" customHeight="1" x14ac:dyDescent="0.25"/>
    <row r="259" s="6" customFormat="1" ht="15" customHeight="1" x14ac:dyDescent="0.25"/>
    <row r="260" s="6" customFormat="1" ht="15" customHeight="1" x14ac:dyDescent="0.25"/>
    <row r="261" s="6" customFormat="1" ht="15" customHeight="1" x14ac:dyDescent="0.25"/>
    <row r="262" s="6" customFormat="1" ht="15" customHeight="1" x14ac:dyDescent="0.25"/>
    <row r="263" s="6" customFormat="1" ht="15" customHeight="1" x14ac:dyDescent="0.25"/>
    <row r="264" s="6" customFormat="1" ht="15" customHeight="1" x14ac:dyDescent="0.25"/>
    <row r="265" s="6" customFormat="1" ht="15" customHeight="1" x14ac:dyDescent="0.25"/>
    <row r="266" s="6" customFormat="1" ht="15" customHeight="1" x14ac:dyDescent="0.25"/>
    <row r="267" s="6" customFormat="1" ht="15" customHeight="1" x14ac:dyDescent="0.25"/>
    <row r="268" s="6" customFormat="1" ht="15" customHeight="1" x14ac:dyDescent="0.25"/>
    <row r="269" s="6" customFormat="1" ht="15" customHeight="1" x14ac:dyDescent="0.25"/>
    <row r="270" s="6" customFormat="1" ht="15" customHeight="1" x14ac:dyDescent="0.25"/>
    <row r="271" s="6" customFormat="1" ht="15" customHeight="1" x14ac:dyDescent="0.25"/>
    <row r="272" s="6" customFormat="1" ht="15" customHeight="1" x14ac:dyDescent="0.25"/>
    <row r="273" s="6" customFormat="1" ht="15" customHeight="1" x14ac:dyDescent="0.25"/>
    <row r="274" s="6" customFormat="1" ht="15" customHeight="1" x14ac:dyDescent="0.25"/>
    <row r="275" s="6" customFormat="1" ht="15" customHeight="1" x14ac:dyDescent="0.25"/>
    <row r="276" s="6" customFormat="1" ht="15" customHeight="1" x14ac:dyDescent="0.25"/>
    <row r="277" s="6" customFormat="1" ht="15" customHeight="1" x14ac:dyDescent="0.25"/>
    <row r="278" s="6" customFormat="1" ht="15" customHeight="1" x14ac:dyDescent="0.25"/>
    <row r="279" s="6" customFormat="1" ht="15" customHeight="1" x14ac:dyDescent="0.25"/>
    <row r="280" s="6" customFormat="1" ht="15" customHeight="1" x14ac:dyDescent="0.25"/>
    <row r="281" s="6" customFormat="1" ht="15" customHeight="1" x14ac:dyDescent="0.25"/>
    <row r="282" s="6" customFormat="1" ht="15" customHeight="1" x14ac:dyDescent="0.25"/>
    <row r="283" s="6" customFormat="1" ht="15" customHeight="1" x14ac:dyDescent="0.25"/>
    <row r="284" s="6" customFormat="1" ht="15" customHeight="1" x14ac:dyDescent="0.25"/>
    <row r="285" s="6" customFormat="1" ht="15" customHeight="1" x14ac:dyDescent="0.25"/>
    <row r="286" s="6" customFormat="1" ht="15" customHeight="1" x14ac:dyDescent="0.25"/>
    <row r="287" s="6" customFormat="1" ht="15" customHeight="1" x14ac:dyDescent="0.25"/>
    <row r="288" s="6" customFormat="1" ht="15" customHeight="1" x14ac:dyDescent="0.25"/>
    <row r="289" s="6" customFormat="1" ht="15" customHeight="1" x14ac:dyDescent="0.25"/>
    <row r="290" s="6" customFormat="1" ht="15" customHeight="1" x14ac:dyDescent="0.25"/>
    <row r="291" s="6" customFormat="1" ht="15" customHeight="1" x14ac:dyDescent="0.25"/>
    <row r="292" s="6" customFormat="1" ht="15" customHeight="1" x14ac:dyDescent="0.25"/>
    <row r="293" s="6" customFormat="1" ht="15" customHeight="1" x14ac:dyDescent="0.25"/>
    <row r="294" s="6" customFormat="1" ht="15" customHeight="1" x14ac:dyDescent="0.25"/>
    <row r="295" s="6" customFormat="1" ht="15" customHeight="1" x14ac:dyDescent="0.25"/>
    <row r="296" s="6" customFormat="1" ht="15" customHeight="1" x14ac:dyDescent="0.25"/>
    <row r="297" s="6" customFormat="1" ht="15" customHeight="1" x14ac:dyDescent="0.25"/>
    <row r="298" s="6" customFormat="1" ht="15" customHeight="1" x14ac:dyDescent="0.25"/>
    <row r="299" s="6" customFormat="1" ht="15" customHeight="1" x14ac:dyDescent="0.25"/>
    <row r="300" s="6" customFormat="1" ht="15" customHeight="1" x14ac:dyDescent="0.25"/>
    <row r="301" s="6" customFormat="1" ht="15" customHeight="1" x14ac:dyDescent="0.25"/>
    <row r="302" s="6" customFormat="1" ht="15" customHeight="1" x14ac:dyDescent="0.25"/>
    <row r="303" s="6" customFormat="1" ht="15" customHeight="1" x14ac:dyDescent="0.25"/>
    <row r="304" s="6" customFormat="1" ht="15" customHeight="1" x14ac:dyDescent="0.25"/>
    <row r="305" s="6" customFormat="1" ht="15" customHeight="1" x14ac:dyDescent="0.25"/>
    <row r="306" s="6" customFormat="1" ht="15" customHeight="1" x14ac:dyDescent="0.25"/>
    <row r="307" s="6" customFormat="1" ht="15" customHeight="1" x14ac:dyDescent="0.25"/>
    <row r="308" s="6" customFormat="1" ht="15" customHeight="1" x14ac:dyDescent="0.25"/>
    <row r="309" s="6" customFormat="1" ht="15" customHeight="1" x14ac:dyDescent="0.25"/>
    <row r="310" s="6" customFormat="1" ht="15" customHeight="1" x14ac:dyDescent="0.25"/>
    <row r="311" s="6" customFormat="1" ht="15" customHeight="1" x14ac:dyDescent="0.25"/>
    <row r="312" s="6" customFormat="1" ht="15" customHeight="1" x14ac:dyDescent="0.25"/>
    <row r="313" s="6" customFormat="1" ht="15" customHeight="1" x14ac:dyDescent="0.25"/>
    <row r="314" s="6" customFormat="1" ht="15" customHeight="1" x14ac:dyDescent="0.25"/>
    <row r="315" s="6" customFormat="1" ht="15" customHeight="1" x14ac:dyDescent="0.25"/>
    <row r="316" s="6" customFormat="1" ht="15" customHeight="1" x14ac:dyDescent="0.25"/>
    <row r="317" s="6" customFormat="1" ht="15" customHeight="1" x14ac:dyDescent="0.25"/>
    <row r="318" s="6" customFormat="1" ht="15" customHeight="1" x14ac:dyDescent="0.25"/>
    <row r="319" s="6" customFormat="1" ht="15" customHeight="1" x14ac:dyDescent="0.25"/>
    <row r="320" s="6" customFormat="1" ht="15" customHeight="1" x14ac:dyDescent="0.25"/>
    <row r="321" s="6" customFormat="1" ht="15" customHeight="1" x14ac:dyDescent="0.25"/>
    <row r="322" s="6" customFormat="1" ht="15" customHeight="1" x14ac:dyDescent="0.25"/>
    <row r="323" s="6" customFormat="1" ht="15" customHeight="1" x14ac:dyDescent="0.25"/>
    <row r="324" s="6" customFormat="1" ht="15" customHeight="1" x14ac:dyDescent="0.25"/>
    <row r="325" s="6" customFormat="1" ht="15" customHeight="1" x14ac:dyDescent="0.25"/>
    <row r="326" s="6" customFormat="1" ht="15" customHeight="1" x14ac:dyDescent="0.25"/>
    <row r="327" s="6" customFormat="1" ht="15" customHeight="1" x14ac:dyDescent="0.25"/>
    <row r="328" s="6" customFormat="1" ht="15" customHeight="1" x14ac:dyDescent="0.25"/>
    <row r="329" s="6" customFormat="1" ht="15" customHeight="1" x14ac:dyDescent="0.25"/>
    <row r="330" s="6" customFormat="1" ht="15" customHeight="1" x14ac:dyDescent="0.25"/>
    <row r="331" s="6" customFormat="1" ht="15" customHeight="1" x14ac:dyDescent="0.25"/>
    <row r="332" s="6" customFormat="1" ht="15" customHeight="1" x14ac:dyDescent="0.25"/>
    <row r="333" s="6" customFormat="1" ht="15" customHeight="1" x14ac:dyDescent="0.25"/>
    <row r="334" s="6" customFormat="1" ht="15" customHeight="1" x14ac:dyDescent="0.25"/>
    <row r="335" s="6" customFormat="1" ht="15" customHeight="1" x14ac:dyDescent="0.25"/>
    <row r="336" s="6" customFormat="1" ht="15" customHeight="1" x14ac:dyDescent="0.25"/>
    <row r="337" s="6" customFormat="1" ht="15" customHeight="1" x14ac:dyDescent="0.25"/>
    <row r="338" s="6" customFormat="1" ht="15" customHeight="1" x14ac:dyDescent="0.25"/>
    <row r="339" s="6" customFormat="1" ht="15" customHeight="1" x14ac:dyDescent="0.25"/>
    <row r="340" s="6" customFormat="1" ht="15" customHeight="1" x14ac:dyDescent="0.25"/>
    <row r="341" s="6" customFormat="1" ht="15" customHeight="1" x14ac:dyDescent="0.25"/>
    <row r="342" s="6" customFormat="1" ht="15" customHeight="1" x14ac:dyDescent="0.25"/>
    <row r="343" s="6" customFormat="1" ht="15" customHeight="1" x14ac:dyDescent="0.25"/>
    <row r="344" s="6" customFormat="1" ht="15" customHeight="1" x14ac:dyDescent="0.25"/>
    <row r="345" s="6" customFormat="1" ht="15" customHeight="1" x14ac:dyDescent="0.25"/>
    <row r="346" s="6" customFormat="1" ht="15" customHeight="1" x14ac:dyDescent="0.25"/>
    <row r="347" s="6" customFormat="1" ht="15" customHeight="1" x14ac:dyDescent="0.25"/>
    <row r="348" s="6" customFormat="1" ht="15" customHeight="1" x14ac:dyDescent="0.25"/>
    <row r="349" s="6" customFormat="1" ht="15" customHeight="1" x14ac:dyDescent="0.25"/>
    <row r="350" s="6" customFormat="1" ht="15" customHeight="1" x14ac:dyDescent="0.25"/>
    <row r="351" s="6" customFormat="1" ht="15" customHeight="1" x14ac:dyDescent="0.25"/>
    <row r="352" s="6" customFormat="1" ht="15" customHeight="1" x14ac:dyDescent="0.25"/>
    <row r="353" spans="1:48" s="6" customFormat="1" ht="15" customHeight="1" x14ac:dyDescent="0.25"/>
    <row r="354" spans="1:48" s="6" customFormat="1" ht="15" customHeight="1" x14ac:dyDescent="0.25"/>
    <row r="355" spans="1:48" s="6" customFormat="1" ht="15" customHeight="1" x14ac:dyDescent="0.25">
      <c r="A355"/>
      <c r="B355"/>
      <c r="C355"/>
      <c r="D355"/>
      <c r="E355"/>
      <c r="F355"/>
      <c r="G355"/>
    </row>
    <row r="356" spans="1:48" s="6" customFormat="1" ht="15" customHeight="1" x14ac:dyDescent="0.25">
      <c r="A356"/>
      <c r="B356"/>
      <c r="C356"/>
      <c r="D356"/>
      <c r="E356"/>
      <c r="F356"/>
      <c r="G356"/>
    </row>
    <row r="357" spans="1:48" s="6" customFormat="1" ht="15" customHeight="1" x14ac:dyDescent="0.25">
      <c r="A357"/>
      <c r="B357"/>
      <c r="C357"/>
      <c r="D357"/>
      <c r="E357"/>
      <c r="F357"/>
      <c r="G357"/>
    </row>
    <row r="358" spans="1:48" s="6" customFormat="1" ht="15" customHeight="1" x14ac:dyDescent="0.25">
      <c r="A358"/>
      <c r="B358"/>
      <c r="C358"/>
      <c r="D358"/>
      <c r="E358"/>
      <c r="F358"/>
      <c r="G358"/>
    </row>
    <row r="359" spans="1:48" s="6" customFormat="1" ht="1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</row>
    <row r="360" spans="1:48" s="6" customFormat="1" ht="1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</row>
  </sheetData>
  <mergeCells count="6">
    <mergeCell ref="A9:G9"/>
    <mergeCell ref="A2:G2"/>
    <mergeCell ref="A3:G3"/>
    <mergeCell ref="A4:G4"/>
    <mergeCell ref="A5:G5"/>
    <mergeCell ref="A6:G6"/>
  </mergeCells>
  <printOptions horizontalCentered="1"/>
  <pageMargins left="0.15748031496063" right="0.15748031496063" top="0.15748031496063" bottom="0.15748031496063" header="0.15748031496063" footer="0.15748031496063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7"/>
  <sheetViews>
    <sheetView workbookViewId="0">
      <selection activeCell="A3" sqref="A3"/>
    </sheetView>
  </sheetViews>
  <sheetFormatPr baseColWidth="10" defaultRowHeight="15" x14ac:dyDescent="0.25"/>
  <cols>
    <col min="1" max="1" width="13.140625" bestFit="1" customWidth="1"/>
  </cols>
  <sheetData>
    <row r="4" spans="1:1" x14ac:dyDescent="0.25">
      <c r="A4" s="8">
        <v>756000</v>
      </c>
    </row>
    <row r="5" spans="1:1" x14ac:dyDescent="0.25">
      <c r="A5" s="8">
        <v>177120</v>
      </c>
    </row>
    <row r="6" spans="1:1" x14ac:dyDescent="0.25">
      <c r="A6" s="8">
        <v>334000</v>
      </c>
    </row>
    <row r="7" spans="1:1" x14ac:dyDescent="0.25">
      <c r="A7" s="8">
        <f>SUM(A4:A6)</f>
        <v>1267120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7"/>
  <sheetViews>
    <sheetView showGridLines="0" topLeftCell="C75" zoomScale="98" zoomScaleNormal="98" zoomScaleSheetLayoutView="90" workbookViewId="0">
      <selection activeCell="I86" sqref="I86"/>
    </sheetView>
  </sheetViews>
  <sheetFormatPr baseColWidth="10" defaultRowHeight="15" x14ac:dyDescent="0.25"/>
  <cols>
    <col min="1" max="1" width="12.7109375" customWidth="1"/>
    <col min="2" max="2" width="10.7109375" customWidth="1"/>
    <col min="3" max="3" width="47" customWidth="1"/>
    <col min="4" max="4" width="50.140625" customWidth="1"/>
    <col min="5" max="5" width="19.85546875" customWidth="1"/>
    <col min="6" max="6" width="18.5703125" customWidth="1"/>
    <col min="7" max="7" width="22.7109375" customWidth="1"/>
    <col min="8" max="8" width="15.85546875" bestFit="1" customWidth="1"/>
    <col min="9" max="9" width="13.140625" customWidth="1"/>
    <col min="10" max="10" width="11.42578125" customWidth="1"/>
    <col min="11" max="11" width="12.7109375" customWidth="1"/>
    <col min="12" max="13" width="11.42578125" customWidth="1"/>
    <col min="14" max="14" width="2" customWidth="1"/>
    <col min="15" max="15" width="15.5703125" bestFit="1" customWidth="1"/>
    <col min="16" max="16" width="13.85546875" bestFit="1" customWidth="1"/>
  </cols>
  <sheetData>
    <row r="1" spans="1:15" x14ac:dyDescent="0.25">
      <c r="A1" s="250" t="s">
        <v>18</v>
      </c>
      <c r="B1" s="250"/>
      <c r="C1" s="250"/>
      <c r="D1" s="250"/>
      <c r="E1" s="250"/>
      <c r="F1" s="250"/>
      <c r="G1" s="250"/>
    </row>
    <row r="2" spans="1:15" x14ac:dyDescent="0.25">
      <c r="A2" s="251" t="s">
        <v>2</v>
      </c>
      <c r="B2" s="251"/>
      <c r="C2" s="251"/>
      <c r="D2" s="251"/>
      <c r="E2" s="251"/>
      <c r="F2" s="251"/>
      <c r="G2" s="251"/>
    </row>
    <row r="3" spans="1:15" x14ac:dyDescent="0.25">
      <c r="A3" s="252" t="s">
        <v>3</v>
      </c>
      <c r="B3" s="252"/>
      <c r="C3" s="252"/>
      <c r="D3" s="252"/>
      <c r="E3" s="252"/>
      <c r="F3" s="252"/>
      <c r="G3" s="252"/>
    </row>
    <row r="4" spans="1:15" x14ac:dyDescent="0.25">
      <c r="A4" s="252" t="s">
        <v>19</v>
      </c>
      <c r="B4" s="252"/>
      <c r="C4" s="252"/>
      <c r="D4" s="252"/>
      <c r="E4" s="252"/>
      <c r="F4" s="252"/>
      <c r="G4" s="252"/>
    </row>
    <row r="5" spans="1:15" x14ac:dyDescent="0.25">
      <c r="A5" s="248"/>
      <c r="B5" s="248"/>
      <c r="C5" s="248"/>
      <c r="D5" s="248"/>
      <c r="E5" s="248"/>
      <c r="F5" s="248"/>
      <c r="G5" s="248"/>
    </row>
    <row r="6" spans="1:15" x14ac:dyDescent="0.25">
      <c r="A6" s="3"/>
      <c r="B6" s="3"/>
      <c r="C6" s="3" t="s">
        <v>18</v>
      </c>
      <c r="D6" s="3"/>
      <c r="E6" s="3"/>
      <c r="F6" s="3"/>
      <c r="G6" s="3"/>
    </row>
    <row r="7" spans="1:15" s="2" customFormat="1" x14ac:dyDescent="0.25">
      <c r="A7" s="3"/>
      <c r="B7" s="3"/>
      <c r="C7" s="3"/>
      <c r="D7" s="3"/>
      <c r="E7" s="3"/>
      <c r="F7" s="3"/>
      <c r="G7" s="3"/>
    </row>
    <row r="8" spans="1:15" x14ac:dyDescent="0.25">
      <c r="A8" s="3"/>
      <c r="B8" s="3"/>
      <c r="C8" s="3"/>
      <c r="D8" s="3"/>
      <c r="E8" s="3"/>
      <c r="F8" s="3"/>
      <c r="G8" s="3"/>
    </row>
    <row r="9" spans="1:15" ht="23.25" x14ac:dyDescent="0.25">
      <c r="A9" s="249" t="s">
        <v>20</v>
      </c>
      <c r="B9" s="249"/>
      <c r="C9" s="249"/>
      <c r="D9" s="249"/>
      <c r="E9" s="249"/>
      <c r="F9" s="249"/>
      <c r="G9" s="249"/>
    </row>
    <row r="10" spans="1:15" x14ac:dyDescent="0.25">
      <c r="A10" s="154"/>
      <c r="B10" s="154"/>
      <c r="C10" s="155"/>
      <c r="D10" s="155"/>
      <c r="E10" s="154"/>
      <c r="F10" s="154"/>
      <c r="G10" s="154"/>
    </row>
    <row r="11" spans="1:15" ht="39.75" customHeight="1" x14ac:dyDescent="0.3">
      <c r="A11" s="99" t="s">
        <v>5</v>
      </c>
      <c r="B11" s="99" t="s">
        <v>6</v>
      </c>
      <c r="C11" s="99" t="s">
        <v>7</v>
      </c>
      <c r="D11" s="99" t="s">
        <v>8</v>
      </c>
      <c r="E11" s="156" t="s">
        <v>9</v>
      </c>
      <c r="F11" s="157" t="s">
        <v>10</v>
      </c>
      <c r="G11" s="158" t="s">
        <v>11</v>
      </c>
    </row>
    <row r="12" spans="1:15" s="7" customFormat="1" ht="21.75" hidden="1" customHeight="1" x14ac:dyDescent="0.25">
      <c r="A12" s="38"/>
      <c r="B12" s="43"/>
      <c r="C12" s="33"/>
      <c r="D12" s="42" t="s">
        <v>30</v>
      </c>
      <c r="E12" s="44"/>
      <c r="F12" s="39"/>
      <c r="G12" s="81">
        <f>+[1]OPERATIVA!$G$253</f>
        <v>10814438.029249961</v>
      </c>
    </row>
    <row r="13" spans="1:15" s="35" customFormat="1" ht="21.75" hidden="1" customHeight="1" x14ac:dyDescent="0.25">
      <c r="A13" s="86">
        <v>44896</v>
      </c>
      <c r="B13" s="43"/>
      <c r="C13" s="49" t="s">
        <v>388</v>
      </c>
      <c r="D13" s="82" t="s">
        <v>389</v>
      </c>
      <c r="E13" s="89"/>
      <c r="F13" s="81">
        <v>100000</v>
      </c>
      <c r="G13" s="53">
        <f t="shared" ref="G13:G18" si="0">+G12+E13-F13</f>
        <v>10714438.029249961</v>
      </c>
    </row>
    <row r="14" spans="1:15" s="7" customFormat="1" ht="47.25" hidden="1" x14ac:dyDescent="0.25">
      <c r="A14" s="86" t="s">
        <v>381</v>
      </c>
      <c r="B14" s="43">
        <v>3432</v>
      </c>
      <c r="C14" s="33" t="s">
        <v>380</v>
      </c>
      <c r="D14" s="82" t="s">
        <v>390</v>
      </c>
      <c r="E14" s="44"/>
      <c r="F14" s="39">
        <v>4000</v>
      </c>
      <c r="G14" s="81">
        <f t="shared" si="0"/>
        <v>10710438.029249961</v>
      </c>
      <c r="O14" s="48"/>
    </row>
    <row r="15" spans="1:15" s="7" customFormat="1" ht="47.25" hidden="1" x14ac:dyDescent="0.25">
      <c r="A15" s="38" t="s">
        <v>381</v>
      </c>
      <c r="B15" s="43">
        <v>3433</v>
      </c>
      <c r="C15" s="49" t="s">
        <v>382</v>
      </c>
      <c r="D15" s="82" t="s">
        <v>391</v>
      </c>
      <c r="E15" s="44"/>
      <c r="F15" s="39">
        <v>4000</v>
      </c>
      <c r="G15" s="81">
        <f t="shared" si="0"/>
        <v>10706438.029249961</v>
      </c>
    </row>
    <row r="16" spans="1:15" s="7" customFormat="1" ht="47.25" hidden="1" x14ac:dyDescent="0.25">
      <c r="A16" s="86" t="s">
        <v>381</v>
      </c>
      <c r="B16" s="43">
        <v>3434</v>
      </c>
      <c r="C16" s="49" t="s">
        <v>383</v>
      </c>
      <c r="D16" s="82" t="s">
        <v>392</v>
      </c>
      <c r="E16" s="44"/>
      <c r="F16" s="39">
        <v>615.59</v>
      </c>
      <c r="G16" s="81">
        <f t="shared" si="0"/>
        <v>10705822.439249961</v>
      </c>
    </row>
    <row r="17" spans="1:7" s="35" customFormat="1" ht="18" hidden="1" customHeight="1" x14ac:dyDescent="0.25">
      <c r="A17" s="38" t="s">
        <v>381</v>
      </c>
      <c r="B17" s="43">
        <v>3435</v>
      </c>
      <c r="C17" s="49" t="s">
        <v>44</v>
      </c>
      <c r="D17" s="50" t="s">
        <v>44</v>
      </c>
      <c r="E17" s="44"/>
      <c r="F17" s="39"/>
      <c r="G17" s="81">
        <f t="shared" si="0"/>
        <v>10705822.439249961</v>
      </c>
    </row>
    <row r="18" spans="1:7" s="35" customFormat="1" ht="15.75" hidden="1" x14ac:dyDescent="0.25">
      <c r="A18" s="86" t="s">
        <v>381</v>
      </c>
      <c r="B18" s="43">
        <v>3436</v>
      </c>
      <c r="C18" s="49" t="s">
        <v>384</v>
      </c>
      <c r="D18" s="82" t="s">
        <v>393</v>
      </c>
      <c r="E18" s="89"/>
      <c r="F18" s="81">
        <v>15983.77</v>
      </c>
      <c r="G18" s="53">
        <f t="shared" si="0"/>
        <v>10689838.669249961</v>
      </c>
    </row>
    <row r="19" spans="1:7" s="35" customFormat="1" ht="15.75" hidden="1" x14ac:dyDescent="0.25">
      <c r="A19" s="86" t="s">
        <v>399</v>
      </c>
      <c r="B19" s="43">
        <v>3437</v>
      </c>
      <c r="C19" s="49" t="s">
        <v>402</v>
      </c>
      <c r="D19" s="82"/>
      <c r="E19" s="89"/>
      <c r="F19" s="81"/>
      <c r="G19" s="81">
        <f t="shared" ref="G19:G25" si="1">G18+E19-F19</f>
        <v>10689838.669249961</v>
      </c>
    </row>
    <row r="20" spans="1:7" s="35" customFormat="1" ht="78.75" hidden="1" x14ac:dyDescent="0.25">
      <c r="A20" s="86" t="s">
        <v>399</v>
      </c>
      <c r="B20" s="43">
        <v>3438</v>
      </c>
      <c r="C20" s="49" t="s">
        <v>400</v>
      </c>
      <c r="D20" s="82" t="s">
        <v>401</v>
      </c>
      <c r="E20" s="89"/>
      <c r="F20" s="81">
        <v>14860.88</v>
      </c>
      <c r="G20" s="53">
        <f t="shared" si="1"/>
        <v>10674977.78924996</v>
      </c>
    </row>
    <row r="21" spans="1:7" s="35" customFormat="1" ht="15.75" hidden="1" x14ac:dyDescent="0.25">
      <c r="A21" s="86" t="s">
        <v>403</v>
      </c>
      <c r="B21" s="43"/>
      <c r="C21" s="49" t="s">
        <v>388</v>
      </c>
      <c r="D21" s="82" t="s">
        <v>389</v>
      </c>
      <c r="E21" s="89"/>
      <c r="F21" s="81">
        <v>100000</v>
      </c>
      <c r="G21" s="53">
        <f t="shared" si="1"/>
        <v>10574977.78924996</v>
      </c>
    </row>
    <row r="22" spans="1:7" s="35" customFormat="1" ht="16.5" hidden="1" customHeight="1" x14ac:dyDescent="0.25">
      <c r="A22" s="86" t="s">
        <v>505</v>
      </c>
      <c r="B22" s="43"/>
      <c r="C22" s="49" t="s">
        <v>554</v>
      </c>
      <c r="D22" s="82" t="s">
        <v>555</v>
      </c>
      <c r="E22" s="89"/>
      <c r="F22" s="81">
        <v>175</v>
      </c>
      <c r="G22" s="81">
        <f t="shared" si="1"/>
        <v>10574802.78924996</v>
      </c>
    </row>
    <row r="23" spans="1:7" s="35" customFormat="1" ht="15.75" hidden="1" x14ac:dyDescent="0.25">
      <c r="A23" s="86" t="s">
        <v>505</v>
      </c>
      <c r="B23" s="43"/>
      <c r="C23" s="49" t="s">
        <v>554</v>
      </c>
      <c r="D23" s="82" t="s">
        <v>556</v>
      </c>
      <c r="E23" s="89"/>
      <c r="F23" s="81">
        <v>46.27</v>
      </c>
      <c r="G23" s="81">
        <f t="shared" si="1"/>
        <v>10574756.519249961</v>
      </c>
    </row>
    <row r="24" spans="1:7" s="35" customFormat="1" ht="15.75" hidden="1" x14ac:dyDescent="0.25">
      <c r="A24" s="86" t="s">
        <v>505</v>
      </c>
      <c r="B24" s="43"/>
      <c r="C24" s="49" t="s">
        <v>554</v>
      </c>
      <c r="D24" s="82" t="s">
        <v>557</v>
      </c>
      <c r="E24" s="89"/>
      <c r="F24" s="81">
        <v>1000</v>
      </c>
      <c r="G24" s="81">
        <f t="shared" si="1"/>
        <v>10573756.519249961</v>
      </c>
    </row>
    <row r="25" spans="1:7" s="35" customFormat="1" ht="15.75" hidden="1" x14ac:dyDescent="0.25">
      <c r="A25" s="86" t="s">
        <v>505</v>
      </c>
      <c r="B25" s="43"/>
      <c r="C25" s="49" t="s">
        <v>554</v>
      </c>
      <c r="D25" s="82" t="s">
        <v>558</v>
      </c>
      <c r="E25" s="89"/>
      <c r="F25" s="81">
        <v>70</v>
      </c>
      <c r="G25" s="53">
        <f t="shared" si="1"/>
        <v>10573686.519249961</v>
      </c>
    </row>
    <row r="26" spans="1:7" s="80" customFormat="1" ht="24.75" hidden="1" customHeight="1" thickBot="1" x14ac:dyDescent="0.3">
      <c r="A26" s="41"/>
      <c r="B26" s="25"/>
      <c r="C26" s="26"/>
      <c r="D26" s="16"/>
      <c r="E26" s="61"/>
      <c r="F26" s="159">
        <f>F22+F23+F24+F25</f>
        <v>1291.27</v>
      </c>
      <c r="G26" s="74"/>
    </row>
    <row r="27" spans="1:7" s="80" customFormat="1" ht="24.75" hidden="1" customHeight="1" thickTop="1" x14ac:dyDescent="0.25">
      <c r="A27" s="41"/>
      <c r="B27" s="25"/>
      <c r="C27" s="26"/>
      <c r="D27" s="16"/>
      <c r="E27" s="88"/>
      <c r="F27" s="15"/>
      <c r="G27" s="74"/>
    </row>
    <row r="28" spans="1:7" s="80" customFormat="1" ht="18" hidden="1" customHeight="1" x14ac:dyDescent="0.25">
      <c r="A28" s="76" t="s">
        <v>654</v>
      </c>
      <c r="B28" s="163"/>
      <c r="C28" s="43" t="s">
        <v>554</v>
      </c>
      <c r="D28" s="82" t="s">
        <v>555</v>
      </c>
      <c r="E28" s="90"/>
      <c r="F28" s="81">
        <v>175</v>
      </c>
      <c r="G28" s="167">
        <f>G25+E28-F28</f>
        <v>10573511.519249961</v>
      </c>
    </row>
    <row r="29" spans="1:7" s="80" customFormat="1" ht="15" hidden="1" customHeight="1" x14ac:dyDescent="0.25">
      <c r="A29" s="76" t="s">
        <v>654</v>
      </c>
      <c r="B29" s="163"/>
      <c r="C29" s="43" t="s">
        <v>554</v>
      </c>
      <c r="D29" s="82" t="s">
        <v>556</v>
      </c>
      <c r="E29" s="90"/>
      <c r="F29" s="81">
        <v>12</v>
      </c>
      <c r="G29" s="166">
        <v>10573499.519249961</v>
      </c>
    </row>
    <row r="30" spans="1:7" s="80" customFormat="1" ht="27.75" hidden="1" customHeight="1" thickBot="1" x14ac:dyDescent="0.3">
      <c r="A30" s="41"/>
      <c r="B30" s="25"/>
      <c r="C30" s="26"/>
      <c r="D30" s="142"/>
      <c r="E30" s="118"/>
      <c r="F30" s="165">
        <f>F28+F29</f>
        <v>187</v>
      </c>
      <c r="G30" s="74"/>
    </row>
    <row r="31" spans="1:7" s="80" customFormat="1" ht="27.75" hidden="1" customHeight="1" thickTop="1" x14ac:dyDescent="0.25">
      <c r="A31" s="41"/>
      <c r="B31" s="25"/>
      <c r="C31" s="26"/>
      <c r="D31" s="142"/>
      <c r="E31" s="88"/>
      <c r="F31" s="15"/>
      <c r="G31" s="74"/>
    </row>
    <row r="32" spans="1:7" s="80" customFormat="1" ht="47.25" hidden="1" x14ac:dyDescent="0.25">
      <c r="A32" s="197">
        <v>44654</v>
      </c>
      <c r="B32" s="43">
        <v>3439</v>
      </c>
      <c r="C32" s="49" t="s">
        <v>656</v>
      </c>
      <c r="D32" s="164" t="s">
        <v>657</v>
      </c>
      <c r="E32" s="90"/>
      <c r="F32" s="89">
        <v>86280</v>
      </c>
      <c r="G32" s="167">
        <f>G29+E32-F32</f>
        <v>10487219.519249961</v>
      </c>
    </row>
    <row r="33" spans="1:7" s="80" customFormat="1" ht="31.5" hidden="1" x14ac:dyDescent="0.25">
      <c r="A33" s="197">
        <v>44868</v>
      </c>
      <c r="B33" s="43">
        <v>3440</v>
      </c>
      <c r="C33" s="43" t="s">
        <v>834</v>
      </c>
      <c r="D33" s="164" t="s">
        <v>835</v>
      </c>
      <c r="E33" s="90"/>
      <c r="F33" s="89">
        <v>84713.35</v>
      </c>
      <c r="G33" s="167">
        <f>G32+E33-F33</f>
        <v>10402506.169249961</v>
      </c>
    </row>
    <row r="34" spans="1:7" s="80" customFormat="1" ht="15.75" hidden="1" x14ac:dyDescent="0.25">
      <c r="A34" s="163" t="s">
        <v>936</v>
      </c>
      <c r="B34" s="43"/>
      <c r="C34" s="49" t="s">
        <v>554</v>
      </c>
      <c r="D34" s="82" t="s">
        <v>555</v>
      </c>
      <c r="E34" s="90"/>
      <c r="F34" s="89">
        <f>129.42+127.07</f>
        <v>256.49</v>
      </c>
      <c r="G34" s="167">
        <f>G33+E34-F34</f>
        <v>10402249.679249961</v>
      </c>
    </row>
    <row r="35" spans="1:7" s="80" customFormat="1" ht="15.75" hidden="1" x14ac:dyDescent="0.25">
      <c r="A35" s="163" t="s">
        <v>936</v>
      </c>
      <c r="B35" s="43"/>
      <c r="C35" s="49" t="s">
        <v>554</v>
      </c>
      <c r="D35" s="82" t="s">
        <v>556</v>
      </c>
      <c r="E35" s="90"/>
      <c r="F35" s="89">
        <v>175</v>
      </c>
      <c r="G35" s="167">
        <f>G34+E35-F35</f>
        <v>10402074.679249961</v>
      </c>
    </row>
    <row r="36" spans="1:7" s="80" customFormat="1" ht="27.75" hidden="1" customHeight="1" x14ac:dyDescent="0.25">
      <c r="A36" s="163" t="s">
        <v>936</v>
      </c>
      <c r="B36" s="43"/>
      <c r="C36" s="49" t="s">
        <v>554</v>
      </c>
      <c r="D36" s="82" t="s">
        <v>557</v>
      </c>
      <c r="E36" s="90"/>
      <c r="F36" s="89">
        <v>500</v>
      </c>
      <c r="G36" s="166">
        <f>G35+E36-F36</f>
        <v>10401574.679249961</v>
      </c>
    </row>
    <row r="37" spans="1:7" s="80" customFormat="1" ht="41.25" hidden="1" customHeight="1" x14ac:dyDescent="0.25">
      <c r="A37" s="41"/>
      <c r="B37" s="43"/>
      <c r="C37" s="26"/>
      <c r="D37" s="16"/>
      <c r="E37" s="88"/>
      <c r="F37" s="15"/>
      <c r="G37" s="74"/>
    </row>
    <row r="38" spans="1:7" s="80" customFormat="1" ht="47.25" hidden="1" customHeight="1" x14ac:dyDescent="0.25">
      <c r="A38" s="163">
        <v>44869</v>
      </c>
      <c r="B38" s="43">
        <v>3441</v>
      </c>
      <c r="C38" s="49" t="s">
        <v>1198</v>
      </c>
      <c r="D38" s="82" t="s">
        <v>974</v>
      </c>
      <c r="E38" s="90"/>
      <c r="F38" s="81">
        <v>10000</v>
      </c>
      <c r="G38" s="167">
        <f>G36+E38-F38</f>
        <v>10391574.679249961</v>
      </c>
    </row>
    <row r="39" spans="1:7" s="80" customFormat="1" ht="50.25" hidden="1" customHeight="1" x14ac:dyDescent="0.25">
      <c r="A39" s="163">
        <v>44869</v>
      </c>
      <c r="B39" s="43">
        <v>3442</v>
      </c>
      <c r="C39" s="49" t="s">
        <v>975</v>
      </c>
      <c r="D39" s="82" t="s">
        <v>976</v>
      </c>
      <c r="E39" s="90"/>
      <c r="F39" s="81">
        <v>22000</v>
      </c>
      <c r="G39" s="167">
        <f>G38+E39-F39</f>
        <v>10369574.679249961</v>
      </c>
    </row>
    <row r="40" spans="1:7" s="80" customFormat="1" ht="50.25" hidden="1" customHeight="1" x14ac:dyDescent="0.25">
      <c r="A40" s="163">
        <v>44869</v>
      </c>
      <c r="B40" s="43">
        <v>3443</v>
      </c>
      <c r="C40" s="49" t="s">
        <v>977</v>
      </c>
      <c r="D40" s="82" t="s">
        <v>978</v>
      </c>
      <c r="E40" s="90"/>
      <c r="F40" s="81">
        <v>2000</v>
      </c>
      <c r="G40" s="166">
        <f t="shared" ref="G40:G42" si="2">G39+E40-F40</f>
        <v>10367574.679249961</v>
      </c>
    </row>
    <row r="41" spans="1:7" s="80" customFormat="1" ht="50.25" hidden="1" customHeight="1" x14ac:dyDescent="0.25">
      <c r="A41" s="197" t="s">
        <v>1252</v>
      </c>
      <c r="B41" s="43"/>
      <c r="C41" s="49" t="s">
        <v>554</v>
      </c>
      <c r="D41" s="82" t="s">
        <v>555</v>
      </c>
      <c r="E41" s="90"/>
      <c r="F41" s="81">
        <v>175</v>
      </c>
      <c r="G41" s="167">
        <f t="shared" si="2"/>
        <v>10367399.679249961</v>
      </c>
    </row>
    <row r="42" spans="1:7" s="80" customFormat="1" ht="50.25" hidden="1" customHeight="1" x14ac:dyDescent="0.25">
      <c r="A42" s="197" t="s">
        <v>1252</v>
      </c>
      <c r="B42" s="43"/>
      <c r="C42" s="49" t="s">
        <v>554</v>
      </c>
      <c r="D42" s="82" t="s">
        <v>556</v>
      </c>
      <c r="E42" s="90"/>
      <c r="F42" s="81">
        <v>48</v>
      </c>
      <c r="G42" s="166">
        <f t="shared" si="2"/>
        <v>10367351.679249961</v>
      </c>
    </row>
    <row r="43" spans="1:7" s="80" customFormat="1" ht="27.75" hidden="1" customHeight="1" thickBot="1" x14ac:dyDescent="0.3">
      <c r="A43" s="41"/>
      <c r="B43" s="25"/>
      <c r="C43" s="26"/>
      <c r="D43" s="16"/>
      <c r="E43" s="88"/>
      <c r="F43" s="165">
        <v>223</v>
      </c>
      <c r="G43" s="74"/>
    </row>
    <row r="44" spans="1:7" s="225" customFormat="1" ht="27.75" hidden="1" customHeight="1" thickTop="1" x14ac:dyDescent="0.25">
      <c r="A44" s="218"/>
      <c r="B44" s="219"/>
      <c r="C44" s="220"/>
      <c r="D44" s="221"/>
      <c r="E44" s="222"/>
      <c r="F44" s="223"/>
      <c r="G44" s="224"/>
    </row>
    <row r="45" spans="1:7" s="80" customFormat="1" ht="27.75" customHeight="1" x14ac:dyDescent="0.25">
      <c r="A45" s="76" t="s">
        <v>1286</v>
      </c>
      <c r="B45" s="43">
        <v>3444</v>
      </c>
      <c r="C45" s="49" t="s">
        <v>44</v>
      </c>
      <c r="D45" s="82"/>
      <c r="E45" s="90"/>
      <c r="F45" s="199">
        <v>0</v>
      </c>
      <c r="G45" s="243">
        <f>G42+E45-F45</f>
        <v>10367351.679249961</v>
      </c>
    </row>
    <row r="46" spans="1:7" s="80" customFormat="1" ht="27.75" customHeight="1" x14ac:dyDescent="0.25">
      <c r="A46" s="76" t="s">
        <v>1286</v>
      </c>
      <c r="B46" s="43">
        <v>3445</v>
      </c>
      <c r="C46" s="49" t="s">
        <v>44</v>
      </c>
      <c r="D46" s="82"/>
      <c r="E46" s="90"/>
      <c r="F46" s="199">
        <v>0</v>
      </c>
      <c r="G46" s="243">
        <f>G45+E46-F46</f>
        <v>10367351.679249961</v>
      </c>
    </row>
    <row r="47" spans="1:7" s="80" customFormat="1" ht="27.75" customHeight="1" x14ac:dyDescent="0.25">
      <c r="A47" s="76" t="s">
        <v>1256</v>
      </c>
      <c r="B47" s="163"/>
      <c r="C47" s="49" t="s">
        <v>388</v>
      </c>
      <c r="D47" s="82" t="s">
        <v>389</v>
      </c>
      <c r="E47" s="90"/>
      <c r="F47" s="198">
        <v>100000</v>
      </c>
      <c r="G47" s="243">
        <f>G46+E47-F47</f>
        <v>10267351.679249961</v>
      </c>
    </row>
    <row r="48" spans="1:7" s="80" customFormat="1" ht="31.5" x14ac:dyDescent="0.25">
      <c r="A48" s="76" t="s">
        <v>1256</v>
      </c>
      <c r="B48" s="43">
        <v>3446</v>
      </c>
      <c r="C48" s="49" t="s">
        <v>1294</v>
      </c>
      <c r="D48" s="82" t="s">
        <v>1295</v>
      </c>
      <c r="E48" s="90"/>
      <c r="F48" s="198">
        <v>3000</v>
      </c>
      <c r="G48" s="243">
        <f t="shared" ref="G48:G82" si="3">G47+E48-F48</f>
        <v>10264351.679249961</v>
      </c>
    </row>
    <row r="49" spans="1:8" s="80" customFormat="1" ht="31.5" customHeight="1" x14ac:dyDescent="0.25">
      <c r="A49" s="76" t="s">
        <v>1256</v>
      </c>
      <c r="B49" s="43">
        <v>3447</v>
      </c>
      <c r="C49" s="49" t="s">
        <v>1296</v>
      </c>
      <c r="D49" s="82" t="s">
        <v>1295</v>
      </c>
      <c r="E49" s="90"/>
      <c r="F49" s="198">
        <v>3500</v>
      </c>
      <c r="G49" s="243">
        <f t="shared" si="3"/>
        <v>10260851.679249961</v>
      </c>
    </row>
    <row r="50" spans="1:8" s="80" customFormat="1" ht="31.5" customHeight="1" x14ac:dyDescent="0.25">
      <c r="A50" s="76" t="s">
        <v>1292</v>
      </c>
      <c r="B50" s="43">
        <v>3448</v>
      </c>
      <c r="C50" s="49" t="s">
        <v>1297</v>
      </c>
      <c r="D50" s="82" t="s">
        <v>1298</v>
      </c>
      <c r="E50" s="90"/>
      <c r="F50" s="198">
        <v>15862.98</v>
      </c>
      <c r="G50" s="243">
        <f t="shared" si="3"/>
        <v>10244988.69924996</v>
      </c>
    </row>
    <row r="51" spans="1:8" s="80" customFormat="1" ht="31.5" customHeight="1" x14ac:dyDescent="0.25">
      <c r="A51" s="76" t="s">
        <v>1315</v>
      </c>
      <c r="B51" s="43">
        <v>3449</v>
      </c>
      <c r="C51" s="212" t="s">
        <v>1299</v>
      </c>
      <c r="D51" s="82" t="s">
        <v>1295</v>
      </c>
      <c r="E51" s="90"/>
      <c r="F51" s="198">
        <v>2000</v>
      </c>
      <c r="G51" s="243">
        <f t="shared" si="3"/>
        <v>10242988.69924996</v>
      </c>
      <c r="H51" s="215"/>
    </row>
    <row r="52" spans="1:8" s="80" customFormat="1" ht="31.5" customHeight="1" x14ac:dyDescent="0.25">
      <c r="A52" s="76" t="s">
        <v>1330</v>
      </c>
      <c r="B52" s="43">
        <v>3450</v>
      </c>
      <c r="C52" s="49" t="s">
        <v>1328</v>
      </c>
      <c r="D52" s="82" t="s">
        <v>1329</v>
      </c>
      <c r="E52" s="90"/>
      <c r="F52" s="198">
        <v>10242.25</v>
      </c>
      <c r="G52" s="243">
        <f t="shared" si="3"/>
        <v>10232746.44924996</v>
      </c>
      <c r="H52" s="215"/>
    </row>
    <row r="53" spans="1:8" s="80" customFormat="1" ht="31.5" customHeight="1" x14ac:dyDescent="0.25">
      <c r="A53" s="76" t="s">
        <v>1330</v>
      </c>
      <c r="B53" s="43">
        <v>3451</v>
      </c>
      <c r="C53" s="49" t="s">
        <v>1331</v>
      </c>
      <c r="D53" s="82" t="s">
        <v>1332</v>
      </c>
      <c r="E53" s="90"/>
      <c r="F53" s="198">
        <v>12265.3</v>
      </c>
      <c r="G53" s="243">
        <f t="shared" si="3"/>
        <v>10220481.14924996</v>
      </c>
      <c r="H53" s="215"/>
    </row>
    <row r="54" spans="1:8" s="80" customFormat="1" ht="31.5" customHeight="1" x14ac:dyDescent="0.25">
      <c r="A54" s="84" t="s">
        <v>1375</v>
      </c>
      <c r="B54" s="43"/>
      <c r="C54" s="129" t="s">
        <v>1376</v>
      </c>
      <c r="D54" s="204" t="s">
        <v>1377</v>
      </c>
      <c r="E54" s="178">
        <v>551.9</v>
      </c>
      <c r="F54" s="198"/>
      <c r="G54" s="243">
        <f t="shared" si="3"/>
        <v>10221033.04924996</v>
      </c>
    </row>
    <row r="55" spans="1:8" s="80" customFormat="1" ht="31.5" customHeight="1" x14ac:dyDescent="0.25">
      <c r="A55" s="76" t="s">
        <v>1375</v>
      </c>
      <c r="B55" s="43"/>
      <c r="C55" s="49" t="s">
        <v>1376</v>
      </c>
      <c r="D55" s="204" t="s">
        <v>1378</v>
      </c>
      <c r="E55" s="178">
        <v>1960</v>
      </c>
      <c r="F55" s="198"/>
      <c r="G55" s="243">
        <f t="shared" si="3"/>
        <v>10222993.04924996</v>
      </c>
    </row>
    <row r="56" spans="1:8" s="80" customFormat="1" ht="31.5" customHeight="1" x14ac:dyDescent="0.25">
      <c r="A56" s="76" t="s">
        <v>1375</v>
      </c>
      <c r="B56" s="43"/>
      <c r="C56" s="49" t="s">
        <v>1376</v>
      </c>
      <c r="D56" s="204" t="s">
        <v>1379</v>
      </c>
      <c r="E56" s="178">
        <v>2732.72</v>
      </c>
      <c r="F56" s="198"/>
      <c r="G56" s="243">
        <f t="shared" si="3"/>
        <v>10225725.769249961</v>
      </c>
    </row>
    <row r="57" spans="1:8" s="80" customFormat="1" ht="31.5" customHeight="1" x14ac:dyDescent="0.25">
      <c r="A57" s="76" t="s">
        <v>1375</v>
      </c>
      <c r="B57" s="43"/>
      <c r="C57" s="49" t="s">
        <v>1376</v>
      </c>
      <c r="D57" s="204" t="s">
        <v>1380</v>
      </c>
      <c r="E57" s="178">
        <v>500</v>
      </c>
      <c r="F57" s="198"/>
      <c r="G57" s="243">
        <f t="shared" si="3"/>
        <v>10226225.769249961</v>
      </c>
    </row>
    <row r="58" spans="1:8" s="80" customFormat="1" ht="31.5" customHeight="1" x14ac:dyDescent="0.25">
      <c r="A58" s="76" t="s">
        <v>1375</v>
      </c>
      <c r="B58" s="43"/>
      <c r="C58" s="49" t="s">
        <v>1376</v>
      </c>
      <c r="D58" s="204" t="s">
        <v>1381</v>
      </c>
      <c r="E58" s="178">
        <v>370500</v>
      </c>
      <c r="F58" s="81"/>
      <c r="G58" s="243">
        <f t="shared" si="3"/>
        <v>10596725.769249961</v>
      </c>
    </row>
    <row r="59" spans="1:8" s="80" customFormat="1" ht="31.5" customHeight="1" x14ac:dyDescent="0.25">
      <c r="A59" s="76" t="s">
        <v>1375</v>
      </c>
      <c r="B59" s="43"/>
      <c r="C59" s="49" t="s">
        <v>1376</v>
      </c>
      <c r="D59" s="204" t="s">
        <v>1383</v>
      </c>
      <c r="E59" s="178">
        <v>16934.3</v>
      </c>
      <c r="F59" s="81"/>
      <c r="G59" s="243">
        <f t="shared" si="3"/>
        <v>10613660.069249962</v>
      </c>
    </row>
    <row r="60" spans="1:8" s="80" customFormat="1" ht="31.5" customHeight="1" x14ac:dyDescent="0.25">
      <c r="A60" s="76" t="s">
        <v>1375</v>
      </c>
      <c r="B60" s="43"/>
      <c r="C60" s="49" t="s">
        <v>1376</v>
      </c>
      <c r="D60" s="204" t="s">
        <v>1382</v>
      </c>
      <c r="E60" s="178">
        <v>600</v>
      </c>
      <c r="F60" s="81"/>
      <c r="G60" s="243">
        <f t="shared" si="3"/>
        <v>10614260.069249962</v>
      </c>
    </row>
    <row r="61" spans="1:8" s="80" customFormat="1" ht="31.5" customHeight="1" x14ac:dyDescent="0.25">
      <c r="A61" s="76" t="s">
        <v>1375</v>
      </c>
      <c r="B61" s="43"/>
      <c r="C61" s="49" t="s">
        <v>1376</v>
      </c>
      <c r="D61" s="204" t="s">
        <v>1384</v>
      </c>
      <c r="E61" s="178">
        <v>400</v>
      </c>
      <c r="F61" s="81"/>
      <c r="G61" s="243">
        <f t="shared" si="3"/>
        <v>10614660.069249962</v>
      </c>
    </row>
    <row r="62" spans="1:8" s="80" customFormat="1" ht="31.5" customHeight="1" x14ac:dyDescent="0.25">
      <c r="A62" s="76" t="s">
        <v>1375</v>
      </c>
      <c r="B62" s="43"/>
      <c r="C62" s="49" t="s">
        <v>1376</v>
      </c>
      <c r="D62" s="204" t="s">
        <v>1385</v>
      </c>
      <c r="E62" s="178">
        <v>220</v>
      </c>
      <c r="F62" s="81"/>
      <c r="G62" s="243">
        <f t="shared" si="3"/>
        <v>10614880.069249962</v>
      </c>
    </row>
    <row r="63" spans="1:8" s="80" customFormat="1" ht="31.5" customHeight="1" x14ac:dyDescent="0.25">
      <c r="A63" s="76" t="s">
        <v>1375</v>
      </c>
      <c r="B63" s="43"/>
      <c r="C63" s="49" t="s">
        <v>1376</v>
      </c>
      <c r="D63" s="204" t="s">
        <v>1386</v>
      </c>
      <c r="E63" s="178">
        <v>220</v>
      </c>
      <c r="F63" s="81"/>
      <c r="G63" s="243">
        <f t="shared" si="3"/>
        <v>10615100.069249962</v>
      </c>
    </row>
    <row r="64" spans="1:8" s="80" customFormat="1" ht="31.5" customHeight="1" x14ac:dyDescent="0.25">
      <c r="A64" s="76" t="s">
        <v>1375</v>
      </c>
      <c r="B64" s="43"/>
      <c r="C64" s="49" t="s">
        <v>1376</v>
      </c>
      <c r="D64" s="204" t="s">
        <v>1387</v>
      </c>
      <c r="E64" s="178">
        <v>371567.55</v>
      </c>
      <c r="F64" s="81"/>
      <c r="G64" s="243">
        <f t="shared" si="3"/>
        <v>10986667.619249962</v>
      </c>
    </row>
    <row r="65" spans="1:7" s="80" customFormat="1" ht="31.5" customHeight="1" x14ac:dyDescent="0.25">
      <c r="A65" s="76" t="s">
        <v>1375</v>
      </c>
      <c r="B65" s="43"/>
      <c r="C65" s="49" t="s">
        <v>1376</v>
      </c>
      <c r="D65" s="204" t="s">
        <v>1388</v>
      </c>
      <c r="E65" s="178">
        <v>2127.66</v>
      </c>
      <c r="F65" s="81"/>
      <c r="G65" s="243">
        <f t="shared" si="3"/>
        <v>10988795.279249962</v>
      </c>
    </row>
    <row r="66" spans="1:7" s="80" customFormat="1" ht="31.5" customHeight="1" x14ac:dyDescent="0.25">
      <c r="A66" s="76" t="s">
        <v>1375</v>
      </c>
      <c r="B66" s="43"/>
      <c r="C66" s="49" t="s">
        <v>1376</v>
      </c>
      <c r="D66" s="204" t="s">
        <v>1389</v>
      </c>
      <c r="E66" s="178">
        <v>12127.8</v>
      </c>
      <c r="F66" s="81"/>
      <c r="G66" s="243">
        <f t="shared" si="3"/>
        <v>11000923.079249963</v>
      </c>
    </row>
    <row r="67" spans="1:7" s="80" customFormat="1" ht="31.5" customHeight="1" x14ac:dyDescent="0.25">
      <c r="A67" s="76" t="s">
        <v>1375</v>
      </c>
      <c r="B67" s="43"/>
      <c r="C67" s="49" t="s">
        <v>1376</v>
      </c>
      <c r="D67" s="204" t="s">
        <v>1390</v>
      </c>
      <c r="E67" s="178">
        <v>400</v>
      </c>
      <c r="F67" s="81"/>
      <c r="G67" s="243">
        <f t="shared" si="3"/>
        <v>11001323.079249963</v>
      </c>
    </row>
    <row r="68" spans="1:7" s="80" customFormat="1" ht="31.5" customHeight="1" x14ac:dyDescent="0.25">
      <c r="A68" s="76" t="s">
        <v>1375</v>
      </c>
      <c r="B68" s="43"/>
      <c r="C68" s="49" t="s">
        <v>1376</v>
      </c>
      <c r="D68" s="204" t="s">
        <v>1391</v>
      </c>
      <c r="E68" s="178">
        <v>400</v>
      </c>
      <c r="F68" s="81"/>
      <c r="G68" s="243">
        <f t="shared" si="3"/>
        <v>11001723.079249963</v>
      </c>
    </row>
    <row r="69" spans="1:7" s="80" customFormat="1" ht="31.5" customHeight="1" x14ac:dyDescent="0.25">
      <c r="A69" s="76" t="s">
        <v>1375</v>
      </c>
      <c r="B69" s="43"/>
      <c r="C69" s="49" t="s">
        <v>1376</v>
      </c>
      <c r="D69" s="204" t="s">
        <v>1392</v>
      </c>
      <c r="E69" s="178">
        <v>220</v>
      </c>
      <c r="F69" s="81"/>
      <c r="G69" s="243">
        <f t="shared" si="3"/>
        <v>11001943.079249963</v>
      </c>
    </row>
    <row r="70" spans="1:7" s="80" customFormat="1" ht="31.5" customHeight="1" x14ac:dyDescent="0.25">
      <c r="A70" s="76" t="s">
        <v>1375</v>
      </c>
      <c r="B70" s="43"/>
      <c r="C70" s="49" t="s">
        <v>1376</v>
      </c>
      <c r="D70" s="204" t="s">
        <v>1393</v>
      </c>
      <c r="E70" s="178">
        <v>704.44</v>
      </c>
      <c r="F70" s="81"/>
      <c r="G70" s="243">
        <f t="shared" si="3"/>
        <v>11002647.519249963</v>
      </c>
    </row>
    <row r="71" spans="1:7" s="80" customFormat="1" ht="31.5" customHeight="1" x14ac:dyDescent="0.25">
      <c r="A71" s="76" t="s">
        <v>1375</v>
      </c>
      <c r="B71" s="43"/>
      <c r="C71" s="49" t="s">
        <v>1376</v>
      </c>
      <c r="D71" s="204" t="s">
        <v>1394</v>
      </c>
      <c r="E71" s="178">
        <v>900</v>
      </c>
      <c r="F71" s="81"/>
      <c r="G71" s="243">
        <f t="shared" si="3"/>
        <v>11003547.519249963</v>
      </c>
    </row>
    <row r="72" spans="1:7" s="80" customFormat="1" ht="31.5" customHeight="1" x14ac:dyDescent="0.25">
      <c r="A72" s="76" t="s">
        <v>1375</v>
      </c>
      <c r="B72" s="43"/>
      <c r="C72" s="49" t="s">
        <v>1376</v>
      </c>
      <c r="D72" s="204" t="s">
        <v>1396</v>
      </c>
      <c r="E72" s="178">
        <v>1300</v>
      </c>
      <c r="F72" s="81"/>
      <c r="G72" s="243">
        <f t="shared" si="3"/>
        <v>11004847.519249963</v>
      </c>
    </row>
    <row r="73" spans="1:7" s="80" customFormat="1" ht="31.5" customHeight="1" x14ac:dyDescent="0.25">
      <c r="A73" s="76" t="s">
        <v>1375</v>
      </c>
      <c r="B73" s="43"/>
      <c r="C73" s="49" t="s">
        <v>1376</v>
      </c>
      <c r="D73" s="204" t="s">
        <v>1397</v>
      </c>
      <c r="E73" s="178">
        <v>800</v>
      </c>
      <c r="F73" s="81"/>
      <c r="G73" s="243">
        <f t="shared" si="3"/>
        <v>11005647.519249963</v>
      </c>
    </row>
    <row r="74" spans="1:7" s="80" customFormat="1" ht="31.5" customHeight="1" x14ac:dyDescent="0.25">
      <c r="A74" s="76" t="s">
        <v>1375</v>
      </c>
      <c r="B74" s="43"/>
      <c r="C74" s="49" t="s">
        <v>1376</v>
      </c>
      <c r="D74" s="204" t="s">
        <v>1398</v>
      </c>
      <c r="E74" s="178">
        <v>160</v>
      </c>
      <c r="F74" s="81"/>
      <c r="G74" s="243">
        <f t="shared" si="3"/>
        <v>11005807.519249963</v>
      </c>
    </row>
    <row r="75" spans="1:7" s="80" customFormat="1" ht="31.5" customHeight="1" x14ac:dyDescent="0.25">
      <c r="A75" s="76" t="s">
        <v>1375</v>
      </c>
      <c r="B75" s="43"/>
      <c r="C75" s="49" t="s">
        <v>1376</v>
      </c>
      <c r="D75" s="204" t="s">
        <v>1399</v>
      </c>
      <c r="E75" s="178">
        <v>900</v>
      </c>
      <c r="F75" s="81"/>
      <c r="G75" s="243">
        <f t="shared" si="3"/>
        <v>11006707.519249963</v>
      </c>
    </row>
    <row r="76" spans="1:7" s="80" customFormat="1" ht="31.5" customHeight="1" x14ac:dyDescent="0.25">
      <c r="A76" s="76" t="s">
        <v>1375</v>
      </c>
      <c r="B76" s="43"/>
      <c r="C76" s="49" t="s">
        <v>1376</v>
      </c>
      <c r="D76" s="204" t="s">
        <v>1400</v>
      </c>
      <c r="E76" s="178">
        <v>4040</v>
      </c>
      <c r="F76" s="81"/>
      <c r="G76" s="243">
        <f t="shared" si="3"/>
        <v>11010747.519249963</v>
      </c>
    </row>
    <row r="77" spans="1:7" s="80" customFormat="1" ht="31.5" customHeight="1" x14ac:dyDescent="0.25">
      <c r="A77" s="76" t="s">
        <v>1375</v>
      </c>
      <c r="B77" s="43"/>
      <c r="C77" s="49" t="s">
        <v>1376</v>
      </c>
      <c r="D77" s="204" t="s">
        <v>1401</v>
      </c>
      <c r="E77" s="178">
        <v>800</v>
      </c>
      <c r="F77" s="81"/>
      <c r="G77" s="243">
        <f t="shared" si="3"/>
        <v>11011547.519249963</v>
      </c>
    </row>
    <row r="78" spans="1:7" s="80" customFormat="1" ht="31.5" customHeight="1" x14ac:dyDescent="0.25">
      <c r="A78" s="76" t="s">
        <v>1375</v>
      </c>
      <c r="B78" s="43"/>
      <c r="C78" s="49" t="s">
        <v>1376</v>
      </c>
      <c r="D78" s="204" t="s">
        <v>1395</v>
      </c>
      <c r="E78" s="178">
        <v>1500</v>
      </c>
      <c r="F78" s="81"/>
      <c r="G78" s="243">
        <f t="shared" si="3"/>
        <v>11013047.519249963</v>
      </c>
    </row>
    <row r="79" spans="1:7" s="80" customFormat="1" ht="31.5" customHeight="1" x14ac:dyDescent="0.25">
      <c r="A79" s="76" t="s">
        <v>1375</v>
      </c>
      <c r="B79" s="43"/>
      <c r="C79" s="49" t="s">
        <v>1376</v>
      </c>
      <c r="D79" s="204" t="s">
        <v>1402</v>
      </c>
      <c r="E79" s="178">
        <v>1500</v>
      </c>
      <c r="F79" s="81"/>
      <c r="G79" s="243">
        <f t="shared" si="3"/>
        <v>11014547.519249963</v>
      </c>
    </row>
    <row r="80" spans="1:7" s="80" customFormat="1" ht="30.75" customHeight="1" x14ac:dyDescent="0.25">
      <c r="A80" s="163">
        <v>44712</v>
      </c>
      <c r="B80" s="43"/>
      <c r="C80" s="49" t="s">
        <v>554</v>
      </c>
      <c r="D80" s="82" t="s">
        <v>556</v>
      </c>
      <c r="E80" s="178"/>
      <c r="F80" s="81">
        <f>14.61+23.79</f>
        <v>38.4</v>
      </c>
      <c r="G80" s="243">
        <f t="shared" si="3"/>
        <v>11014509.119249962</v>
      </c>
    </row>
    <row r="81" spans="1:8" s="80" customFormat="1" ht="31.5" customHeight="1" x14ac:dyDescent="0.25">
      <c r="A81" s="163">
        <v>44712</v>
      </c>
      <c r="B81" s="43"/>
      <c r="C81" s="49" t="s">
        <v>554</v>
      </c>
      <c r="D81" s="82" t="s">
        <v>557</v>
      </c>
      <c r="E81" s="178"/>
      <c r="F81" s="198">
        <v>500</v>
      </c>
      <c r="G81" s="243">
        <f t="shared" si="3"/>
        <v>11014009.119249962</v>
      </c>
    </row>
    <row r="82" spans="1:8" s="80" customFormat="1" ht="31.5" customHeight="1" x14ac:dyDescent="0.25">
      <c r="A82" s="163">
        <v>44712</v>
      </c>
      <c r="B82" s="43"/>
      <c r="C82" s="49" t="s">
        <v>554</v>
      </c>
      <c r="D82" s="82" t="s">
        <v>558</v>
      </c>
      <c r="E82" s="178"/>
      <c r="F82" s="81">
        <v>175</v>
      </c>
      <c r="G82" s="243">
        <f t="shared" si="3"/>
        <v>11013834.119249962</v>
      </c>
      <c r="H82" s="214"/>
    </row>
    <row r="83" spans="1:8" s="80" customFormat="1" ht="15.75" customHeight="1" x14ac:dyDescent="0.25">
      <c r="A83" s="163">
        <v>44712</v>
      </c>
      <c r="B83" s="163"/>
      <c r="C83" s="49" t="s">
        <v>554</v>
      </c>
      <c r="D83" s="82" t="s">
        <v>1431</v>
      </c>
      <c r="E83" s="90"/>
      <c r="F83" s="53">
        <v>67092.990500000014</v>
      </c>
      <c r="G83" s="242">
        <f>G82+E83-F83</f>
        <v>10946741.128749963</v>
      </c>
      <c r="H83" s="214"/>
    </row>
    <row r="84" spans="1:8" s="80" customFormat="1" ht="15.75" customHeight="1" x14ac:dyDescent="0.25">
      <c r="A84" s="41"/>
      <c r="B84" s="25"/>
      <c r="C84" s="26"/>
      <c r="D84" s="16"/>
      <c r="E84" s="88">
        <f>SUM(E45:E83)</f>
        <v>794066.37</v>
      </c>
      <c r="F84" s="15">
        <f>SUM(F45:F83)</f>
        <v>214676.92049999998</v>
      </c>
      <c r="G84" s="74"/>
    </row>
    <row r="85" spans="1:8" s="80" customFormat="1" ht="15.75" customHeight="1" x14ac:dyDescent="0.25">
      <c r="A85" s="41"/>
      <c r="B85" s="25"/>
      <c r="C85" s="26"/>
      <c r="D85" s="16"/>
      <c r="E85" s="88"/>
      <c r="F85" s="15"/>
      <c r="G85" s="74"/>
      <c r="H85" s="215"/>
    </row>
    <row r="86" spans="1:8" s="80" customFormat="1" ht="15.75" customHeight="1" x14ac:dyDescent="0.25">
      <c r="A86" s="41"/>
      <c r="B86" s="25"/>
      <c r="C86" s="26"/>
      <c r="D86" s="16"/>
      <c r="E86" s="88"/>
      <c r="F86" s="15"/>
      <c r="G86" s="74"/>
    </row>
    <row r="87" spans="1:8" s="80" customFormat="1" ht="15.75" customHeight="1" x14ac:dyDescent="0.25">
      <c r="A87" s="41"/>
      <c r="B87" s="25"/>
      <c r="C87" s="26"/>
      <c r="D87" s="16"/>
      <c r="E87" s="88"/>
      <c r="F87" s="15"/>
      <c r="G87" s="74"/>
    </row>
    <row r="88" spans="1:8" s="80" customFormat="1" ht="15.75" customHeight="1" x14ac:dyDescent="0.25">
      <c r="A88" s="41"/>
      <c r="B88" s="25"/>
      <c r="C88" s="26"/>
      <c r="D88" s="16"/>
      <c r="E88" s="88"/>
      <c r="F88" s="15"/>
      <c r="G88" s="74"/>
    </row>
    <row r="89" spans="1:8" s="80" customFormat="1" ht="15.75" customHeight="1" x14ac:dyDescent="0.25">
      <c r="A89" s="41"/>
      <c r="B89" s="25"/>
      <c r="C89" s="26"/>
      <c r="D89" s="16"/>
      <c r="E89" s="88"/>
      <c r="F89" s="15"/>
      <c r="G89" s="74"/>
    </row>
    <row r="90" spans="1:8" s="80" customFormat="1" ht="15.75" customHeight="1" x14ac:dyDescent="0.25">
      <c r="A90" s="41"/>
      <c r="B90" s="25"/>
      <c r="C90" s="26"/>
      <c r="D90" s="16"/>
      <c r="E90" s="88"/>
      <c r="F90" s="15"/>
      <c r="G90" s="74"/>
    </row>
    <row r="91" spans="1:8" s="80" customFormat="1" ht="15.75" customHeight="1" x14ac:dyDescent="0.25">
      <c r="A91" s="41"/>
      <c r="B91" s="25"/>
      <c r="C91" s="26"/>
      <c r="D91" s="16"/>
      <c r="E91" s="88"/>
      <c r="F91" s="15"/>
      <c r="G91" s="74"/>
    </row>
    <row r="92" spans="1:8" s="80" customFormat="1" ht="15.75" customHeight="1" x14ac:dyDescent="0.25">
      <c r="A92" s="41"/>
      <c r="B92" s="25"/>
      <c r="C92" s="26"/>
      <c r="D92" s="16"/>
      <c r="E92" s="88"/>
      <c r="F92" s="15"/>
      <c r="G92" s="74"/>
    </row>
    <row r="93" spans="1:8" s="22" customFormat="1" ht="14.25" customHeight="1" x14ac:dyDescent="0.25">
      <c r="A93" s="41"/>
      <c r="B93" s="27"/>
      <c r="C93" s="41"/>
      <c r="D93" s="28" t="s">
        <v>64</v>
      </c>
      <c r="E93" s="34"/>
      <c r="F93" s="34" t="s">
        <v>60</v>
      </c>
      <c r="G93" s="55"/>
    </row>
    <row r="94" spans="1:8" s="22" customFormat="1" ht="15" customHeight="1" x14ac:dyDescent="0.25">
      <c r="A94" s="40"/>
      <c r="B94" s="67" t="s">
        <v>66</v>
      </c>
      <c r="C94" s="65"/>
      <c r="D94" s="68" t="s">
        <v>61</v>
      </c>
      <c r="E94" s="63" t="s">
        <v>45</v>
      </c>
      <c r="F94" s="63"/>
      <c r="G94" s="64"/>
    </row>
    <row r="95" spans="1:8" s="22" customFormat="1" ht="15" customHeight="1" x14ac:dyDescent="0.25">
      <c r="A95" s="40"/>
      <c r="B95" s="65" t="s">
        <v>67</v>
      </c>
      <c r="C95" s="65"/>
      <c r="D95" s="69" t="s">
        <v>68</v>
      </c>
      <c r="E95" s="65"/>
      <c r="F95" s="64" t="s">
        <v>46</v>
      </c>
      <c r="G95" s="66"/>
    </row>
    <row r="96" spans="1:8" s="22" customFormat="1" ht="15.75" x14ac:dyDescent="0.25">
      <c r="A96" s="40"/>
      <c r="B96" s="30"/>
      <c r="C96" s="40"/>
      <c r="D96" s="40"/>
      <c r="E96" s="20"/>
      <c r="F96" s="20"/>
      <c r="G96" s="20"/>
    </row>
    <row r="97" spans="1:7" s="22" customFormat="1" ht="10.5" customHeight="1" x14ac:dyDescent="0.25">
      <c r="A97" s="40"/>
      <c r="B97" s="30"/>
      <c r="C97" s="40"/>
      <c r="D97" s="40"/>
      <c r="E97" s="20"/>
      <c r="F97" s="20"/>
      <c r="G97" s="20"/>
    </row>
    <row r="98" spans="1:7" s="22" customFormat="1" ht="15.75" x14ac:dyDescent="0.25">
      <c r="A98" s="40"/>
      <c r="B98" s="40"/>
      <c r="C98" s="21"/>
      <c r="D98" s="40"/>
      <c r="E98" s="20"/>
      <c r="F98" s="20"/>
      <c r="G98" s="20"/>
    </row>
    <row r="99" spans="1:7" ht="15.75" x14ac:dyDescent="0.25">
      <c r="A99" s="40"/>
      <c r="B99" s="40"/>
      <c r="C99" s="21"/>
      <c r="D99" s="20"/>
      <c r="E99" s="20"/>
      <c r="F99" s="72"/>
      <c r="G99" s="20"/>
    </row>
    <row r="100" spans="1:7" ht="13.5" customHeight="1" x14ac:dyDescent="0.25">
      <c r="A100" s="40"/>
      <c r="B100" s="40"/>
      <c r="C100" s="40"/>
      <c r="D100" s="40"/>
      <c r="E100" s="20"/>
      <c r="F100" s="20"/>
      <c r="G100" s="20"/>
    </row>
    <row r="101" spans="1:7" ht="15.75" x14ac:dyDescent="0.25">
      <c r="A101" s="40"/>
      <c r="B101" s="40"/>
      <c r="C101" s="40" t="s">
        <v>71</v>
      </c>
      <c r="D101" s="20"/>
      <c r="E101" s="20"/>
      <c r="F101" s="20"/>
      <c r="G101" s="20"/>
    </row>
    <row r="102" spans="1:7" ht="15.75" x14ac:dyDescent="0.25">
      <c r="A102" s="40"/>
      <c r="B102" s="40"/>
      <c r="C102" s="40"/>
      <c r="D102" s="40"/>
      <c r="E102" s="20"/>
      <c r="F102" s="20"/>
      <c r="G102" s="20"/>
    </row>
    <row r="103" spans="1:7" ht="15.75" x14ac:dyDescent="0.25">
      <c r="A103" s="40"/>
      <c r="B103" s="40"/>
      <c r="C103" s="40"/>
      <c r="D103" s="20"/>
      <c r="E103" s="20"/>
      <c r="F103" s="20"/>
      <c r="G103" s="20"/>
    </row>
    <row r="104" spans="1:7" ht="15.75" x14ac:dyDescent="0.25">
      <c r="A104" s="40"/>
      <c r="B104" s="40"/>
      <c r="C104" s="40"/>
      <c r="D104" s="40"/>
      <c r="E104" s="10"/>
      <c r="F104" s="20"/>
      <c r="G104" s="20"/>
    </row>
    <row r="105" spans="1:7" ht="15.75" x14ac:dyDescent="0.25">
      <c r="A105" s="40"/>
      <c r="B105" s="40"/>
      <c r="C105" s="40"/>
      <c r="D105" s="21"/>
      <c r="E105" s="10"/>
      <c r="F105" s="20"/>
      <c r="G105" s="20"/>
    </row>
    <row r="106" spans="1:7" ht="15.75" x14ac:dyDescent="0.25">
      <c r="A106" s="5"/>
      <c r="B106" s="5"/>
      <c r="C106" s="5"/>
      <c r="D106" s="5"/>
      <c r="E106" s="10"/>
      <c r="F106" s="17"/>
      <c r="G106" s="17"/>
    </row>
    <row r="107" spans="1:7" ht="15.75" x14ac:dyDescent="0.25">
      <c r="A107" s="5"/>
      <c r="B107" s="17"/>
      <c r="C107" s="5"/>
      <c r="D107" s="5"/>
      <c r="E107" s="10"/>
      <c r="F107" s="17"/>
      <c r="G107" s="17"/>
    </row>
    <row r="108" spans="1:7" ht="15.75" x14ac:dyDescent="0.25">
      <c r="A108" s="5"/>
      <c r="B108" s="5"/>
      <c r="C108" s="5"/>
      <c r="D108" s="5"/>
      <c r="E108" s="10"/>
      <c r="F108" s="17"/>
      <c r="G108" s="17"/>
    </row>
    <row r="109" spans="1:7" ht="15.75" x14ac:dyDescent="0.25">
      <c r="A109" s="5"/>
      <c r="B109" s="5"/>
      <c r="C109" s="5"/>
      <c r="D109" s="5"/>
      <c r="E109" s="10"/>
      <c r="F109" s="17"/>
      <c r="G109" s="17"/>
    </row>
    <row r="110" spans="1:7" ht="15.75" x14ac:dyDescent="0.25">
      <c r="A110" s="5"/>
      <c r="B110" s="5"/>
      <c r="C110" s="5"/>
      <c r="D110" s="5"/>
      <c r="E110" s="10"/>
      <c r="F110" s="17"/>
      <c r="G110" s="17"/>
    </row>
    <row r="111" spans="1:7" ht="15.75" x14ac:dyDescent="0.25">
      <c r="A111" s="5"/>
      <c r="B111" s="5"/>
      <c r="C111" s="5"/>
      <c r="D111" s="5"/>
      <c r="E111" s="10"/>
      <c r="F111" s="17"/>
      <c r="G111" s="17"/>
    </row>
    <row r="112" spans="1:7" ht="15.75" x14ac:dyDescent="0.25">
      <c r="A112" s="5"/>
      <c r="B112" s="5"/>
      <c r="C112" s="5"/>
      <c r="D112" s="5"/>
      <c r="E112" s="10"/>
      <c r="F112" s="17"/>
      <c r="G112" s="17"/>
    </row>
    <row r="113" spans="1:7" ht="15.75" x14ac:dyDescent="0.25">
      <c r="A113" s="5"/>
      <c r="B113" s="5"/>
      <c r="C113" s="5"/>
      <c r="D113" s="5"/>
      <c r="E113" s="10"/>
      <c r="F113" s="17"/>
      <c r="G113" s="17"/>
    </row>
    <row r="114" spans="1:7" ht="15.75" x14ac:dyDescent="0.25">
      <c r="A114" s="5"/>
      <c r="B114" s="5"/>
      <c r="C114" s="5"/>
      <c r="D114" s="5"/>
      <c r="E114" s="10"/>
      <c r="F114" s="17"/>
      <c r="G114" s="17"/>
    </row>
    <row r="115" spans="1:7" ht="15.75" x14ac:dyDescent="0.25">
      <c r="A115" s="5"/>
      <c r="B115" s="5"/>
      <c r="C115" s="5"/>
      <c r="D115" s="5"/>
      <c r="E115" s="10"/>
      <c r="F115" s="17"/>
      <c r="G115" s="17"/>
    </row>
    <row r="116" spans="1:7" ht="15.75" x14ac:dyDescent="0.25">
      <c r="A116" s="5"/>
      <c r="B116" s="5"/>
      <c r="C116" s="5"/>
      <c r="D116" s="5"/>
      <c r="E116" s="10"/>
      <c r="F116" s="17"/>
      <c r="G116" s="17"/>
    </row>
    <row r="117" spans="1:7" x14ac:dyDescent="0.25">
      <c r="A117" s="5"/>
      <c r="B117" s="5"/>
      <c r="C117" s="5"/>
      <c r="D117" s="5"/>
      <c r="E117" s="17"/>
      <c r="F117" s="17"/>
      <c r="G117" s="17"/>
    </row>
    <row r="118" spans="1:7" x14ac:dyDescent="0.25">
      <c r="A118" s="5"/>
      <c r="B118" s="5"/>
      <c r="C118" s="5"/>
      <c r="D118" s="5"/>
      <c r="E118" s="17"/>
      <c r="F118" s="17"/>
      <c r="G118" s="17"/>
    </row>
    <row r="119" spans="1:7" x14ac:dyDescent="0.25">
      <c r="A119" s="5"/>
      <c r="B119" s="5"/>
      <c r="C119" s="5"/>
      <c r="D119" s="5"/>
      <c r="E119" s="17"/>
      <c r="F119" s="17"/>
      <c r="G119" s="17"/>
    </row>
    <row r="120" spans="1:7" x14ac:dyDescent="0.25">
      <c r="A120" s="5"/>
      <c r="B120" s="5"/>
      <c r="C120" s="5"/>
      <c r="D120" s="5"/>
      <c r="E120" s="17"/>
      <c r="F120" s="17"/>
      <c r="G120" s="17"/>
    </row>
    <row r="121" spans="1:7" x14ac:dyDescent="0.25">
      <c r="A121" s="5"/>
      <c r="B121" s="5"/>
      <c r="C121" s="5"/>
      <c r="D121" s="5"/>
      <c r="E121" s="17"/>
      <c r="F121" s="17"/>
      <c r="G121" s="17"/>
    </row>
    <row r="122" spans="1:7" x14ac:dyDescent="0.25">
      <c r="A122" s="5"/>
      <c r="B122" s="5"/>
      <c r="C122" s="5"/>
      <c r="D122" s="5"/>
      <c r="E122" s="17"/>
      <c r="F122" s="17"/>
      <c r="G122" s="17"/>
    </row>
    <row r="123" spans="1:7" x14ac:dyDescent="0.25">
      <c r="A123" s="5"/>
      <c r="B123" s="5"/>
      <c r="C123" s="5"/>
      <c r="D123" s="5"/>
      <c r="E123" s="17"/>
      <c r="F123" s="17"/>
      <c r="G123" s="17"/>
    </row>
    <row r="124" spans="1:7" x14ac:dyDescent="0.25">
      <c r="A124" s="5"/>
      <c r="B124" s="5"/>
      <c r="C124" s="5"/>
      <c r="D124" s="5"/>
      <c r="E124" s="17"/>
      <c r="F124" s="17"/>
      <c r="G124" s="17"/>
    </row>
    <row r="125" spans="1:7" x14ac:dyDescent="0.25">
      <c r="A125" s="5"/>
      <c r="B125" s="5"/>
      <c r="C125" s="5"/>
      <c r="D125" s="5"/>
      <c r="E125" s="17"/>
      <c r="F125" s="17"/>
      <c r="G125" s="17"/>
    </row>
    <row r="126" spans="1:7" x14ac:dyDescent="0.25">
      <c r="A126" s="5"/>
      <c r="B126" s="5"/>
      <c r="C126" s="5"/>
      <c r="D126" s="5"/>
      <c r="E126" s="17"/>
      <c r="F126" s="17"/>
      <c r="G126" s="17"/>
    </row>
    <row r="127" spans="1:7" x14ac:dyDescent="0.25">
      <c r="A127" s="5"/>
      <c r="B127" s="5"/>
      <c r="C127" s="5"/>
      <c r="D127" s="5"/>
      <c r="E127" s="17"/>
      <c r="F127" s="17"/>
      <c r="G127" s="17"/>
    </row>
    <row r="128" spans="1:7" x14ac:dyDescent="0.25">
      <c r="A128" s="5"/>
      <c r="B128" s="5"/>
      <c r="C128" s="5"/>
      <c r="D128" s="5"/>
      <c r="E128" s="17"/>
      <c r="F128" s="17"/>
      <c r="G128" s="17"/>
    </row>
    <row r="129" spans="1:7" x14ac:dyDescent="0.25">
      <c r="A129" s="5"/>
      <c r="B129" s="5"/>
      <c r="C129" s="5"/>
      <c r="D129" s="5"/>
      <c r="E129" s="17"/>
      <c r="F129" s="17"/>
      <c r="G129" s="17"/>
    </row>
    <row r="130" spans="1:7" x14ac:dyDescent="0.25">
      <c r="A130" s="5"/>
      <c r="B130" s="5"/>
      <c r="C130" s="5"/>
      <c r="D130" s="5"/>
      <c r="E130" s="17"/>
      <c r="F130" s="17"/>
      <c r="G130" s="17"/>
    </row>
    <row r="131" spans="1:7" x14ac:dyDescent="0.25">
      <c r="A131" s="5"/>
      <c r="B131" s="5"/>
      <c r="C131" s="5"/>
      <c r="D131" s="5"/>
      <c r="E131" s="17"/>
      <c r="F131" s="17"/>
      <c r="G131" s="17"/>
    </row>
    <row r="132" spans="1:7" x14ac:dyDescent="0.25">
      <c r="A132" s="5"/>
      <c r="B132" s="5"/>
      <c r="C132" s="5"/>
      <c r="D132" s="5"/>
      <c r="E132" s="17"/>
      <c r="F132" s="17"/>
      <c r="G132" s="17"/>
    </row>
    <row r="133" spans="1:7" x14ac:dyDescent="0.25">
      <c r="A133" s="5"/>
      <c r="B133" s="5"/>
      <c r="C133" s="5"/>
      <c r="D133" s="5"/>
      <c r="E133" s="17"/>
      <c r="F133" s="17"/>
      <c r="G133" s="17"/>
    </row>
    <row r="134" spans="1:7" x14ac:dyDescent="0.25">
      <c r="A134" s="5"/>
      <c r="B134" s="5"/>
      <c r="C134" s="5"/>
      <c r="D134" s="5"/>
      <c r="E134" s="17"/>
      <c r="F134" s="17"/>
      <c r="G134" s="17"/>
    </row>
    <row r="135" spans="1:7" x14ac:dyDescent="0.25">
      <c r="A135" s="5"/>
      <c r="B135" s="5"/>
      <c r="C135" s="5"/>
      <c r="D135" s="5"/>
      <c r="E135" s="17"/>
      <c r="F135" s="17"/>
      <c r="G135" s="17"/>
    </row>
    <row r="136" spans="1:7" x14ac:dyDescent="0.25">
      <c r="A136" s="5"/>
      <c r="B136" s="5"/>
      <c r="C136" s="5"/>
      <c r="D136" s="5"/>
      <c r="E136" s="17"/>
      <c r="F136" s="17"/>
      <c r="G136" s="17"/>
    </row>
    <row r="137" spans="1:7" x14ac:dyDescent="0.25">
      <c r="A137" s="5"/>
      <c r="B137" s="5"/>
      <c r="C137" s="5"/>
      <c r="D137" s="5"/>
      <c r="E137" s="17"/>
      <c r="F137" s="17"/>
      <c r="G137" s="17"/>
    </row>
    <row r="138" spans="1:7" x14ac:dyDescent="0.25">
      <c r="A138" s="5"/>
      <c r="B138" s="5"/>
      <c r="C138" s="5"/>
      <c r="D138" s="5"/>
      <c r="E138" s="17"/>
      <c r="F138" s="17"/>
      <c r="G138" s="17"/>
    </row>
    <row r="139" spans="1:7" x14ac:dyDescent="0.25">
      <c r="A139" s="5"/>
      <c r="B139" s="5"/>
      <c r="C139" s="5"/>
      <c r="D139" s="5"/>
      <c r="E139" s="17"/>
      <c r="F139" s="17"/>
      <c r="G139" s="17"/>
    </row>
    <row r="140" spans="1:7" x14ac:dyDescent="0.25">
      <c r="A140" s="5"/>
      <c r="B140" s="5"/>
      <c r="C140" s="5"/>
      <c r="D140" s="5"/>
      <c r="E140" s="17"/>
      <c r="F140" s="17"/>
      <c r="G140" s="17"/>
    </row>
    <row r="141" spans="1:7" x14ac:dyDescent="0.25">
      <c r="A141" s="5"/>
      <c r="B141" s="5"/>
      <c r="C141" s="5"/>
      <c r="D141" s="5"/>
      <c r="E141" s="17"/>
      <c r="F141" s="17"/>
      <c r="G141" s="17"/>
    </row>
    <row r="142" spans="1:7" x14ac:dyDescent="0.25">
      <c r="A142" s="5"/>
      <c r="B142" s="5"/>
      <c r="C142" s="5"/>
      <c r="D142" s="5"/>
      <c r="E142" s="17"/>
      <c r="F142" s="17"/>
      <c r="G142" s="17"/>
    </row>
    <row r="143" spans="1:7" x14ac:dyDescent="0.25">
      <c r="A143" s="5"/>
      <c r="B143" s="5"/>
      <c r="C143" s="5"/>
      <c r="D143" s="5"/>
      <c r="E143" s="17"/>
      <c r="F143" s="17"/>
      <c r="G143" s="17"/>
    </row>
    <row r="144" spans="1:7" x14ac:dyDescent="0.25">
      <c r="A144" s="5"/>
      <c r="B144" s="5"/>
      <c r="C144" s="5"/>
      <c r="D144" s="5"/>
      <c r="E144" s="17"/>
      <c r="F144" s="17"/>
      <c r="G144" s="17"/>
    </row>
    <row r="145" spans="1:7" x14ac:dyDescent="0.25">
      <c r="A145" s="5"/>
      <c r="B145" s="5"/>
      <c r="C145" s="5"/>
      <c r="D145" s="5"/>
      <c r="E145" s="17"/>
      <c r="F145" s="17"/>
      <c r="G145" s="17"/>
    </row>
    <row r="146" spans="1:7" x14ac:dyDescent="0.25">
      <c r="A146" s="5"/>
      <c r="B146" s="5"/>
      <c r="C146" s="5"/>
      <c r="D146" s="5"/>
      <c r="E146" s="17"/>
      <c r="F146" s="17"/>
      <c r="G146" s="17"/>
    </row>
    <row r="147" spans="1:7" x14ac:dyDescent="0.25">
      <c r="A147" s="5"/>
      <c r="B147" s="5"/>
      <c r="C147" s="5"/>
      <c r="D147" s="5"/>
      <c r="E147" s="17"/>
      <c r="F147" s="17"/>
      <c r="G147" s="17"/>
    </row>
    <row r="148" spans="1:7" x14ac:dyDescent="0.25">
      <c r="A148" s="5"/>
      <c r="B148" s="5"/>
      <c r="C148" s="5"/>
      <c r="D148" s="5"/>
      <c r="E148" s="17"/>
      <c r="F148" s="17"/>
      <c r="G148" s="17"/>
    </row>
    <row r="149" spans="1:7" x14ac:dyDescent="0.25">
      <c r="A149" s="5"/>
      <c r="B149" s="5"/>
      <c r="C149" s="5"/>
      <c r="D149" s="5"/>
      <c r="E149" s="17"/>
      <c r="F149" s="17"/>
      <c r="G149" s="17"/>
    </row>
    <row r="150" spans="1:7" x14ac:dyDescent="0.25">
      <c r="A150" s="5"/>
      <c r="B150" s="5"/>
      <c r="C150" s="5"/>
      <c r="D150" s="5"/>
      <c r="E150" s="17"/>
      <c r="F150" s="17"/>
      <c r="G150" s="17"/>
    </row>
    <row r="151" spans="1:7" x14ac:dyDescent="0.25">
      <c r="A151" s="5"/>
      <c r="B151" s="5"/>
      <c r="C151" s="5"/>
      <c r="D151" s="5"/>
      <c r="E151" s="17"/>
      <c r="F151" s="17"/>
      <c r="G151" s="17"/>
    </row>
    <row r="152" spans="1:7" x14ac:dyDescent="0.25">
      <c r="A152" s="5"/>
      <c r="B152" s="5"/>
      <c r="C152" s="5"/>
      <c r="D152" s="5"/>
      <c r="E152" s="17"/>
      <c r="F152" s="17"/>
      <c r="G152" s="17"/>
    </row>
    <row r="153" spans="1:7" x14ac:dyDescent="0.25">
      <c r="A153" s="5"/>
      <c r="B153" s="5"/>
      <c r="C153" s="5"/>
      <c r="D153" s="5"/>
      <c r="E153" s="17"/>
      <c r="F153" s="17"/>
      <c r="G153" s="17"/>
    </row>
    <row r="154" spans="1:7" x14ac:dyDescent="0.25">
      <c r="A154" s="5"/>
      <c r="B154" s="5"/>
      <c r="C154" s="5"/>
      <c r="D154" s="5"/>
      <c r="E154" s="17"/>
      <c r="F154" s="17"/>
      <c r="G154" s="17"/>
    </row>
    <row r="155" spans="1:7" x14ac:dyDescent="0.25">
      <c r="A155" s="5"/>
      <c r="B155" s="5"/>
      <c r="C155" s="5"/>
      <c r="D155" s="5"/>
      <c r="E155" s="17"/>
      <c r="F155" s="17"/>
      <c r="G155" s="17"/>
    </row>
    <row r="156" spans="1:7" x14ac:dyDescent="0.25">
      <c r="A156" s="5"/>
      <c r="B156" s="5"/>
      <c r="C156" s="5"/>
      <c r="D156" s="5"/>
      <c r="E156" s="17"/>
      <c r="F156" s="17"/>
      <c r="G156" s="17"/>
    </row>
    <row r="157" spans="1:7" x14ac:dyDescent="0.25">
      <c r="A157" s="5"/>
      <c r="B157" s="5"/>
      <c r="C157" s="5"/>
      <c r="D157" s="5"/>
      <c r="E157" s="17"/>
      <c r="F157" s="17"/>
      <c r="G157" s="17"/>
    </row>
    <row r="158" spans="1:7" x14ac:dyDescent="0.25">
      <c r="A158" s="5"/>
      <c r="B158" s="5"/>
      <c r="C158" s="5"/>
      <c r="D158" s="5"/>
      <c r="E158" s="17"/>
      <c r="F158" s="17"/>
      <c r="G158" s="17"/>
    </row>
    <row r="159" spans="1:7" x14ac:dyDescent="0.25">
      <c r="A159" s="12"/>
      <c r="B159" s="12"/>
      <c r="C159" s="12"/>
      <c r="D159" s="12"/>
      <c r="E159" s="8"/>
      <c r="F159" s="8"/>
      <c r="G159" s="8"/>
    </row>
    <row r="160" spans="1:7" x14ac:dyDescent="0.25">
      <c r="A160" s="12"/>
      <c r="B160" s="12"/>
      <c r="C160" s="12"/>
      <c r="D160" s="12"/>
      <c r="E160" s="8"/>
      <c r="F160" s="8"/>
      <c r="G160" s="8"/>
    </row>
    <row r="161" spans="1:7" x14ac:dyDescent="0.25">
      <c r="A161" s="12"/>
      <c r="B161" s="12"/>
      <c r="C161" s="12"/>
      <c r="D161" s="12"/>
      <c r="E161" s="8"/>
      <c r="F161" s="8"/>
      <c r="G161" s="8"/>
    </row>
    <row r="162" spans="1:7" x14ac:dyDescent="0.25">
      <c r="A162" s="12"/>
      <c r="B162" s="12"/>
      <c r="C162" s="12"/>
      <c r="D162" s="12"/>
      <c r="E162" s="8"/>
      <c r="F162" s="8"/>
      <c r="G162" s="8"/>
    </row>
    <row r="163" spans="1:7" x14ac:dyDescent="0.25">
      <c r="A163" s="12"/>
      <c r="B163" s="12"/>
      <c r="C163" s="12"/>
      <c r="D163" s="12"/>
      <c r="E163" s="8"/>
      <c r="F163" s="8"/>
      <c r="G163" s="8"/>
    </row>
    <row r="164" spans="1:7" x14ac:dyDescent="0.25">
      <c r="A164" s="12"/>
      <c r="B164" s="12"/>
      <c r="C164" s="12"/>
      <c r="D164" s="12"/>
      <c r="E164" s="8"/>
      <c r="F164" s="8"/>
      <c r="G164" s="8"/>
    </row>
    <row r="165" spans="1:7" x14ac:dyDescent="0.25">
      <c r="A165" s="12"/>
      <c r="B165" s="12"/>
      <c r="C165" s="12"/>
      <c r="D165" s="12"/>
      <c r="E165" s="8"/>
      <c r="F165" s="8"/>
      <c r="G165" s="8"/>
    </row>
    <row r="166" spans="1:7" x14ac:dyDescent="0.25">
      <c r="A166" s="12"/>
      <c r="B166" s="12"/>
      <c r="C166" s="12"/>
      <c r="D166" s="12"/>
      <c r="E166" s="8"/>
      <c r="F166" s="8"/>
      <c r="G166" s="8"/>
    </row>
    <row r="167" spans="1:7" x14ac:dyDescent="0.25">
      <c r="A167" s="12"/>
      <c r="B167" s="12"/>
      <c r="C167" s="12"/>
      <c r="D167" s="12"/>
      <c r="E167" s="8"/>
      <c r="F167" s="8"/>
      <c r="G167" s="8"/>
    </row>
    <row r="168" spans="1:7" x14ac:dyDescent="0.25">
      <c r="A168" s="12"/>
      <c r="B168" s="12"/>
      <c r="C168" s="12"/>
      <c r="D168" s="12"/>
      <c r="E168" s="8"/>
      <c r="F168" s="8"/>
      <c r="G168" s="8"/>
    </row>
    <row r="169" spans="1:7" x14ac:dyDescent="0.25">
      <c r="A169" s="12"/>
      <c r="B169" s="12"/>
      <c r="C169" s="12"/>
      <c r="D169" s="12"/>
      <c r="E169" s="8"/>
      <c r="F169" s="8"/>
      <c r="G169" s="8"/>
    </row>
    <row r="170" spans="1:7" x14ac:dyDescent="0.25">
      <c r="A170" s="12"/>
      <c r="B170" s="12"/>
      <c r="C170" s="12"/>
      <c r="D170" s="12"/>
      <c r="E170" s="8"/>
      <c r="F170" s="8"/>
      <c r="G170" s="8"/>
    </row>
    <row r="171" spans="1:7" x14ac:dyDescent="0.25">
      <c r="E171" s="8"/>
      <c r="F171" s="8"/>
      <c r="G171" s="8"/>
    </row>
    <row r="172" spans="1:7" x14ac:dyDescent="0.25">
      <c r="E172" s="8"/>
      <c r="F172" s="8"/>
      <c r="G172" s="8"/>
    </row>
    <row r="173" spans="1:7" x14ac:dyDescent="0.25">
      <c r="E173" s="8"/>
      <c r="F173" s="8"/>
      <c r="G173" s="8"/>
    </row>
    <row r="174" spans="1:7" x14ac:dyDescent="0.25">
      <c r="E174" s="8"/>
      <c r="F174" s="8"/>
      <c r="G174" s="8"/>
    </row>
    <row r="175" spans="1:7" x14ac:dyDescent="0.25">
      <c r="E175" s="8"/>
      <c r="F175" s="8"/>
      <c r="G175" s="8"/>
    </row>
    <row r="176" spans="1:7" x14ac:dyDescent="0.25">
      <c r="E176" s="8"/>
      <c r="F176" s="8"/>
      <c r="G176" s="8"/>
    </row>
    <row r="177" spans="5:7" x14ac:dyDescent="0.25">
      <c r="E177" s="8"/>
      <c r="F177" s="8"/>
      <c r="G177" s="8"/>
    </row>
    <row r="178" spans="5:7" x14ac:dyDescent="0.25">
      <c r="E178" s="8"/>
      <c r="F178" s="8"/>
      <c r="G178" s="8"/>
    </row>
    <row r="179" spans="5:7" x14ac:dyDescent="0.25">
      <c r="E179" s="8"/>
      <c r="F179" s="8"/>
      <c r="G179" s="8"/>
    </row>
    <row r="180" spans="5:7" x14ac:dyDescent="0.25">
      <c r="E180" s="8"/>
      <c r="F180" s="8"/>
      <c r="G180" s="8"/>
    </row>
    <row r="181" spans="5:7" x14ac:dyDescent="0.25">
      <c r="E181" s="8"/>
      <c r="F181" s="8"/>
      <c r="G181" s="8"/>
    </row>
    <row r="182" spans="5:7" x14ac:dyDescent="0.25">
      <c r="E182" s="8"/>
      <c r="F182" s="8"/>
      <c r="G182" s="8"/>
    </row>
    <row r="183" spans="5:7" x14ac:dyDescent="0.25">
      <c r="E183" s="8"/>
      <c r="F183" s="8"/>
      <c r="G183" s="8"/>
    </row>
    <row r="184" spans="5:7" x14ac:dyDescent="0.25">
      <c r="E184" s="8"/>
      <c r="F184" s="8"/>
      <c r="G184" s="8"/>
    </row>
    <row r="185" spans="5:7" x14ac:dyDescent="0.25">
      <c r="E185" s="8"/>
      <c r="F185" s="8"/>
      <c r="G185" s="8"/>
    </row>
    <row r="186" spans="5:7" x14ac:dyDescent="0.25">
      <c r="E186" s="8"/>
      <c r="F186" s="8"/>
      <c r="G186" s="8"/>
    </row>
    <row r="187" spans="5:7" x14ac:dyDescent="0.25">
      <c r="E187" s="8"/>
      <c r="F187" s="8"/>
      <c r="G187" s="8"/>
    </row>
    <row r="188" spans="5:7" x14ac:dyDescent="0.25">
      <c r="E188" s="8"/>
      <c r="F188" s="8"/>
      <c r="G188" s="8"/>
    </row>
    <row r="189" spans="5:7" x14ac:dyDescent="0.25">
      <c r="E189" s="8"/>
      <c r="F189" s="8"/>
      <c r="G189" s="8"/>
    </row>
    <row r="190" spans="5:7" x14ac:dyDescent="0.25">
      <c r="E190" s="8"/>
      <c r="F190" s="8"/>
      <c r="G190" s="8"/>
    </row>
    <row r="191" spans="5:7" x14ac:dyDescent="0.25">
      <c r="E191" s="8"/>
      <c r="F191" s="8"/>
      <c r="G191" s="8"/>
    </row>
    <row r="192" spans="5:7" x14ac:dyDescent="0.25">
      <c r="E192" s="8"/>
      <c r="F192" s="8"/>
      <c r="G192" s="8"/>
    </row>
    <row r="193" spans="5:7" x14ac:dyDescent="0.25">
      <c r="E193" s="8"/>
      <c r="F193" s="8"/>
      <c r="G193" s="8"/>
    </row>
    <row r="194" spans="5:7" x14ac:dyDescent="0.25">
      <c r="E194" s="8"/>
      <c r="F194" s="8"/>
      <c r="G194" s="8"/>
    </row>
    <row r="195" spans="5:7" x14ac:dyDescent="0.25">
      <c r="E195" s="8"/>
      <c r="F195" s="8"/>
      <c r="G195" s="8"/>
    </row>
    <row r="196" spans="5:7" x14ac:dyDescent="0.25">
      <c r="E196" s="8"/>
      <c r="F196" s="8"/>
      <c r="G196" s="8"/>
    </row>
    <row r="197" spans="5:7" x14ac:dyDescent="0.25">
      <c r="E197" s="8"/>
      <c r="F197" s="8"/>
      <c r="G197" s="8"/>
    </row>
  </sheetData>
  <sortState ref="A66:G66">
    <sortCondition ref="A12"/>
  </sortState>
  <mergeCells count="6">
    <mergeCell ref="A9:G9"/>
    <mergeCell ref="A1:G1"/>
    <mergeCell ref="A2:G2"/>
    <mergeCell ref="A3:G3"/>
    <mergeCell ref="A4:G4"/>
    <mergeCell ref="A5:G5"/>
  </mergeCells>
  <pageMargins left="0.2" right="0.2" top="0.25" bottom="0.2" header="0.3" footer="0.3"/>
  <pageSetup scale="70" fitToHeight="0" orientation="landscape" r:id="rId1"/>
  <headerFooter scaleWithDoc="0" alignWithMargins="0"/>
  <rowBreaks count="1" manualBreakCount="1">
    <brk id="123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2:E26"/>
  <sheetViews>
    <sheetView topLeftCell="A10" workbookViewId="0">
      <selection activeCell="F45" sqref="F45"/>
    </sheetView>
  </sheetViews>
  <sheetFormatPr baseColWidth="10" defaultColWidth="11.42578125" defaultRowHeight="15" x14ac:dyDescent="0.25"/>
  <cols>
    <col min="1" max="1" width="5.85546875" style="12" customWidth="1"/>
    <col min="2" max="2" width="14.140625" style="12" customWidth="1"/>
    <col min="3" max="3" width="14.5703125" style="12" customWidth="1"/>
    <col min="4" max="4" width="19.7109375" style="12" customWidth="1"/>
    <col min="5" max="16384" width="11.42578125" style="12"/>
  </cols>
  <sheetData>
    <row r="12" spans="1:1" x14ac:dyDescent="0.25">
      <c r="A12" s="11"/>
    </row>
    <row r="18" spans="4:5" s="7" customFormat="1" ht="15" customHeight="1" x14ac:dyDescent="0.25">
      <c r="D18" s="35"/>
      <c r="E18" s="9"/>
    </row>
    <row r="26" spans="4:5" ht="18.75" x14ac:dyDescent="0.3">
      <c r="D26" s="1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L1421"/>
  <sheetViews>
    <sheetView tabSelected="1" view="pageBreakPreview" zoomScale="85" zoomScaleNormal="100" zoomScaleSheetLayoutView="85" workbookViewId="0">
      <selection activeCell="D744" sqref="D744:F932"/>
    </sheetView>
  </sheetViews>
  <sheetFormatPr baseColWidth="10" defaultRowHeight="16.5" customHeight="1" x14ac:dyDescent="0.25"/>
  <cols>
    <col min="1" max="1" width="16.5703125" style="75" customWidth="1"/>
    <col min="2" max="2" width="14.28515625" style="22" customWidth="1"/>
    <col min="3" max="3" width="45" style="22" customWidth="1"/>
    <col min="4" max="4" width="57.42578125" style="22" customWidth="1"/>
    <col min="5" max="5" width="22.42578125" style="22" customWidth="1"/>
    <col min="6" max="6" width="21.28515625" style="22" customWidth="1"/>
    <col min="7" max="7" width="20.140625" style="22" customWidth="1"/>
    <col min="8" max="8" width="16.42578125" style="22" bestFit="1" customWidth="1"/>
    <col min="9" max="9" width="15.5703125" style="22" bestFit="1" customWidth="1"/>
    <col min="10" max="10" width="16.42578125" style="22" bestFit="1" customWidth="1"/>
    <col min="11" max="16384" width="11.42578125" style="22"/>
  </cols>
  <sheetData>
    <row r="1" spans="1:7" ht="14.25" customHeight="1" x14ac:dyDescent="0.25">
      <c r="A1" s="256" t="s">
        <v>377</v>
      </c>
      <c r="B1" s="256"/>
      <c r="C1" s="256"/>
      <c r="D1" s="256"/>
      <c r="E1" s="256"/>
      <c r="F1" s="256"/>
      <c r="G1" s="256"/>
    </row>
    <row r="2" spans="1:7" s="31" customFormat="1" ht="16.5" customHeight="1" x14ac:dyDescent="0.3">
      <c r="A2" s="257" t="s">
        <v>2</v>
      </c>
      <c r="B2" s="257"/>
      <c r="C2" s="257"/>
      <c r="D2" s="257"/>
      <c r="E2" s="257"/>
      <c r="F2" s="257"/>
      <c r="G2" s="257"/>
    </row>
    <row r="3" spans="1:7" s="31" customFormat="1" ht="16.5" customHeight="1" x14ac:dyDescent="0.3">
      <c r="A3" s="258" t="s">
        <v>3</v>
      </c>
      <c r="B3" s="258"/>
      <c r="C3" s="258"/>
      <c r="D3" s="258"/>
      <c r="E3" s="258"/>
      <c r="F3" s="258"/>
      <c r="G3" s="258"/>
    </row>
    <row r="4" spans="1:7" s="31" customFormat="1" ht="16.5" customHeight="1" x14ac:dyDescent="0.3">
      <c r="A4" s="260" t="s">
        <v>19</v>
      </c>
      <c r="B4" s="260"/>
      <c r="C4" s="260"/>
      <c r="D4" s="260"/>
      <c r="E4" s="260"/>
      <c r="F4" s="260"/>
      <c r="G4" s="260"/>
    </row>
    <row r="5" spans="1:7" s="31" customFormat="1" ht="16.5" customHeight="1" x14ac:dyDescent="0.3">
      <c r="A5" s="248"/>
      <c r="B5" s="248"/>
      <c r="C5" s="248"/>
      <c r="D5" s="248"/>
      <c r="E5" s="248"/>
      <c r="F5" s="248"/>
      <c r="G5" s="248"/>
    </row>
    <row r="6" spans="1:7" s="31" customFormat="1" ht="16.5" customHeight="1" x14ac:dyDescent="0.3">
      <c r="A6" s="93"/>
      <c r="B6" s="54"/>
      <c r="C6" s="54"/>
      <c r="D6" s="54"/>
      <c r="E6" s="54"/>
      <c r="F6" s="54"/>
      <c r="G6" s="54"/>
    </row>
    <row r="7" spans="1:7" s="31" customFormat="1" ht="16.5" customHeight="1" x14ac:dyDescent="0.3">
      <c r="A7" s="259"/>
      <c r="B7" s="259"/>
      <c r="C7" s="259"/>
      <c r="D7" s="259"/>
      <c r="E7" s="259"/>
      <c r="F7" s="259"/>
      <c r="G7" s="259"/>
    </row>
    <row r="8" spans="1:7" s="119" customFormat="1" ht="16.5" customHeight="1" x14ac:dyDescent="0.35">
      <c r="A8" s="255" t="s">
        <v>21</v>
      </c>
      <c r="B8" s="255"/>
      <c r="C8" s="255"/>
      <c r="D8" s="255"/>
      <c r="E8" s="255"/>
      <c r="F8" s="255"/>
      <c r="G8" s="255"/>
    </row>
    <row r="9" spans="1:7" s="93" customFormat="1" ht="16.5" customHeight="1" x14ac:dyDescent="0.3">
      <c r="A9" s="96"/>
      <c r="B9" s="96"/>
      <c r="C9" s="97"/>
      <c r="D9" s="97"/>
      <c r="E9" s="96"/>
      <c r="F9" s="96"/>
      <c r="G9" s="96"/>
    </row>
    <row r="10" spans="1:7" s="93" customFormat="1" ht="18" customHeight="1" x14ac:dyDescent="0.3">
      <c r="A10" s="98" t="s">
        <v>5</v>
      </c>
      <c r="B10" s="99" t="s">
        <v>6</v>
      </c>
      <c r="C10" s="98" t="s">
        <v>7</v>
      </c>
      <c r="D10" s="98" t="s">
        <v>8</v>
      </c>
      <c r="E10" s="100" t="s">
        <v>9</v>
      </c>
      <c r="F10" s="101" t="s">
        <v>10</v>
      </c>
      <c r="G10" s="102" t="s">
        <v>11</v>
      </c>
    </row>
    <row r="11" spans="1:7" s="93" customFormat="1" ht="15.75" hidden="1" customHeight="1" x14ac:dyDescent="0.3">
      <c r="A11" s="77"/>
      <c r="B11" s="121"/>
      <c r="C11" s="77"/>
      <c r="D11" s="23" t="s">
        <v>378</v>
      </c>
      <c r="E11" s="120"/>
      <c r="F11" s="122"/>
      <c r="G11" s="120">
        <v>59677161.726750188</v>
      </c>
    </row>
    <row r="12" spans="1:7" s="93" customFormat="1" ht="16.5" hidden="1" customHeight="1" x14ac:dyDescent="0.3">
      <c r="A12" s="84">
        <v>44562</v>
      </c>
      <c r="B12" s="121"/>
      <c r="C12" s="85" t="s">
        <v>13</v>
      </c>
      <c r="D12" s="85" t="s">
        <v>22</v>
      </c>
      <c r="E12" s="120">
        <v>37165</v>
      </c>
      <c r="F12" s="122"/>
      <c r="G12" s="120">
        <f>+G11+E12-F12</f>
        <v>59714326.726750188</v>
      </c>
    </row>
    <row r="13" spans="1:7" s="93" customFormat="1" ht="16.5" hidden="1" customHeight="1" x14ac:dyDescent="0.3">
      <c r="A13" s="84">
        <v>44562</v>
      </c>
      <c r="B13" s="77"/>
      <c r="C13" s="85" t="s">
        <v>13</v>
      </c>
      <c r="D13" s="85" t="s">
        <v>48</v>
      </c>
      <c r="E13" s="120">
        <v>3000</v>
      </c>
      <c r="F13" s="122">
        <f>+E13*0.025</f>
        <v>75</v>
      </c>
      <c r="G13" s="110">
        <f t="shared" ref="G13:G94" si="0">+G12+E13-F13</f>
        <v>59717251.726750188</v>
      </c>
    </row>
    <row r="14" spans="1:7" s="93" customFormat="1" ht="16.5" hidden="1" customHeight="1" x14ac:dyDescent="0.3">
      <c r="A14" s="84">
        <v>44621</v>
      </c>
      <c r="B14" s="121"/>
      <c r="C14" s="85" t="s">
        <v>13</v>
      </c>
      <c r="D14" s="85" t="s">
        <v>22</v>
      </c>
      <c r="E14" s="120">
        <v>26052</v>
      </c>
      <c r="F14" s="122"/>
      <c r="G14" s="120">
        <f t="shared" si="0"/>
        <v>59743303.726750188</v>
      </c>
    </row>
    <row r="15" spans="1:7" s="93" customFormat="1" ht="16.5" hidden="1" customHeight="1" x14ac:dyDescent="0.3">
      <c r="A15" s="84">
        <v>44621</v>
      </c>
      <c r="B15" s="121"/>
      <c r="C15" s="85" t="s">
        <v>13</v>
      </c>
      <c r="D15" s="85" t="s">
        <v>48</v>
      </c>
      <c r="E15" s="120">
        <v>200</v>
      </c>
      <c r="F15" s="122">
        <f>+E15*0.025</f>
        <v>5</v>
      </c>
      <c r="G15" s="120">
        <f t="shared" si="0"/>
        <v>59743498.726750188</v>
      </c>
    </row>
    <row r="16" spans="1:7" s="93" customFormat="1" ht="16.5" hidden="1" customHeight="1" x14ac:dyDescent="0.3">
      <c r="A16" s="84">
        <v>44621</v>
      </c>
      <c r="B16" s="121"/>
      <c r="C16" s="85" t="s">
        <v>13</v>
      </c>
      <c r="D16" s="85" t="s">
        <v>48</v>
      </c>
      <c r="E16" s="120">
        <v>408.44</v>
      </c>
      <c r="F16" s="122">
        <f>+E16*0.025</f>
        <v>10.211</v>
      </c>
      <c r="G16" s="120">
        <f t="shared" si="0"/>
        <v>59743896.955750182</v>
      </c>
    </row>
    <row r="17" spans="1:7" s="93" customFormat="1" ht="16.5" hidden="1" customHeight="1" x14ac:dyDescent="0.3">
      <c r="A17" s="84">
        <v>44621</v>
      </c>
      <c r="B17" s="77"/>
      <c r="C17" s="85" t="s">
        <v>13</v>
      </c>
      <c r="D17" s="85" t="s">
        <v>48</v>
      </c>
      <c r="E17" s="120">
        <v>700</v>
      </c>
      <c r="F17" s="122">
        <f>+E17*0.025</f>
        <v>17.5</v>
      </c>
      <c r="G17" s="110">
        <f>+G16+E17-F17</f>
        <v>59744579.455750182</v>
      </c>
    </row>
    <row r="18" spans="1:7" s="93" customFormat="1" ht="16.5" hidden="1" customHeight="1" x14ac:dyDescent="0.3">
      <c r="A18" s="84">
        <v>44652</v>
      </c>
      <c r="B18" s="121"/>
      <c r="C18" s="85" t="s">
        <v>13</v>
      </c>
      <c r="D18" s="85" t="s">
        <v>22</v>
      </c>
      <c r="E18" s="120">
        <v>31041</v>
      </c>
      <c r="F18" s="122"/>
      <c r="G18" s="120">
        <f t="shared" si="0"/>
        <v>59775620.455750182</v>
      </c>
    </row>
    <row r="19" spans="1:7" s="93" customFormat="1" ht="16.5" hidden="1" customHeight="1" x14ac:dyDescent="0.3">
      <c r="A19" s="84">
        <v>44652</v>
      </c>
      <c r="B19" s="121"/>
      <c r="C19" s="85" t="s">
        <v>13</v>
      </c>
      <c r="D19" s="85" t="s">
        <v>48</v>
      </c>
      <c r="E19" s="120">
        <v>200</v>
      </c>
      <c r="F19" s="122">
        <f>+E19*0.025</f>
        <v>5</v>
      </c>
      <c r="G19" s="120">
        <f t="shared" si="0"/>
        <v>59775815.455750182</v>
      </c>
    </row>
    <row r="20" spans="1:7" s="93" customFormat="1" ht="16.5" hidden="1" customHeight="1" x14ac:dyDescent="0.3">
      <c r="A20" s="84">
        <v>44652</v>
      </c>
      <c r="B20" s="77"/>
      <c r="C20" s="85" t="s">
        <v>13</v>
      </c>
      <c r="D20" s="85" t="s">
        <v>48</v>
      </c>
      <c r="E20" s="120">
        <v>1698</v>
      </c>
      <c r="F20" s="122">
        <f>+E20*0.025</f>
        <v>42.45</v>
      </c>
      <c r="G20" s="110">
        <f t="shared" si="0"/>
        <v>59777471.005750179</v>
      </c>
    </row>
    <row r="21" spans="1:7" s="93" customFormat="1" ht="16.5" hidden="1" customHeight="1" x14ac:dyDescent="0.3">
      <c r="A21" s="84">
        <v>44682</v>
      </c>
      <c r="B21" s="121"/>
      <c r="C21" s="85" t="s">
        <v>13</v>
      </c>
      <c r="D21" s="85" t="s">
        <v>22</v>
      </c>
      <c r="E21" s="120">
        <v>22895</v>
      </c>
      <c r="F21" s="122"/>
      <c r="G21" s="120">
        <f t="shared" si="0"/>
        <v>59800366.005750179</v>
      </c>
    </row>
    <row r="22" spans="1:7" s="93" customFormat="1" ht="16.5" hidden="1" customHeight="1" x14ac:dyDescent="0.3">
      <c r="A22" s="84">
        <v>44682</v>
      </c>
      <c r="B22" s="121"/>
      <c r="C22" s="85" t="s">
        <v>13</v>
      </c>
      <c r="D22" s="85" t="s">
        <v>48</v>
      </c>
      <c r="E22" s="120">
        <v>300</v>
      </c>
      <c r="F22" s="122">
        <f>+E22*0.025</f>
        <v>7.5</v>
      </c>
      <c r="G22" s="120">
        <f t="shared" si="0"/>
        <v>59800658.505750179</v>
      </c>
    </row>
    <row r="23" spans="1:7" s="93" customFormat="1" ht="16.5" hidden="1" customHeight="1" x14ac:dyDescent="0.3">
      <c r="A23" s="84">
        <v>44682</v>
      </c>
      <c r="B23" s="121"/>
      <c r="C23" s="85" t="s">
        <v>13</v>
      </c>
      <c r="D23" s="85" t="s">
        <v>48</v>
      </c>
      <c r="E23" s="120">
        <v>300</v>
      </c>
      <c r="F23" s="122">
        <f>+E23*0.025</f>
        <v>7.5</v>
      </c>
      <c r="G23" s="120">
        <f t="shared" si="0"/>
        <v>59800951.005750179</v>
      </c>
    </row>
    <row r="24" spans="1:7" s="93" customFormat="1" ht="16.5" hidden="1" customHeight="1" x14ac:dyDescent="0.3">
      <c r="A24" s="84">
        <v>44682</v>
      </c>
      <c r="B24" s="121"/>
      <c r="C24" s="85" t="s">
        <v>12</v>
      </c>
      <c r="D24" s="85" t="s">
        <v>28</v>
      </c>
      <c r="E24" s="120">
        <v>224632.39</v>
      </c>
      <c r="F24" s="122"/>
      <c r="G24" s="120">
        <f t="shared" si="0"/>
        <v>60025583.39575018</v>
      </c>
    </row>
    <row r="25" spans="1:7" s="93" customFormat="1" ht="18.75" hidden="1" customHeight="1" x14ac:dyDescent="0.3">
      <c r="A25" s="84">
        <v>44682</v>
      </c>
      <c r="B25" s="121"/>
      <c r="C25" s="85" t="s">
        <v>73</v>
      </c>
      <c r="D25" s="85" t="s">
        <v>536</v>
      </c>
      <c r="E25" s="120"/>
      <c r="F25" s="122">
        <v>224632.39</v>
      </c>
      <c r="G25" s="120">
        <f t="shared" si="0"/>
        <v>59800951.005750179</v>
      </c>
    </row>
    <row r="26" spans="1:7" s="93" customFormat="1" ht="16.5" hidden="1" customHeight="1" x14ac:dyDescent="0.3">
      <c r="A26" s="84">
        <v>44682</v>
      </c>
      <c r="B26" s="121"/>
      <c r="C26" s="85" t="s">
        <v>12</v>
      </c>
      <c r="D26" s="85" t="s">
        <v>28</v>
      </c>
      <c r="E26" s="120">
        <v>134715.71</v>
      </c>
      <c r="F26" s="122"/>
      <c r="G26" s="120">
        <f t="shared" si="0"/>
        <v>59935666.71575018</v>
      </c>
    </row>
    <row r="27" spans="1:7" s="93" customFormat="1" ht="16.5" hidden="1" customHeight="1" x14ac:dyDescent="0.3">
      <c r="A27" s="84">
        <v>44682</v>
      </c>
      <c r="B27" s="121"/>
      <c r="C27" s="85" t="s">
        <v>12</v>
      </c>
      <c r="D27" s="85" t="s">
        <v>536</v>
      </c>
      <c r="E27" s="120"/>
      <c r="F27" s="122">
        <v>134715.71</v>
      </c>
      <c r="G27" s="120">
        <f t="shared" si="0"/>
        <v>59800951.005750179</v>
      </c>
    </row>
    <row r="28" spans="1:7" s="93" customFormat="1" ht="16.5" hidden="1" customHeight="1" x14ac:dyDescent="0.3">
      <c r="A28" s="84">
        <v>44682</v>
      </c>
      <c r="B28" s="77"/>
      <c r="C28" s="85" t="s">
        <v>12</v>
      </c>
      <c r="D28" s="85" t="s">
        <v>26</v>
      </c>
      <c r="E28" s="120">
        <v>50000</v>
      </c>
      <c r="F28" s="122"/>
      <c r="G28" s="110">
        <f t="shared" si="0"/>
        <v>59850951.005750179</v>
      </c>
    </row>
    <row r="29" spans="1:7" s="93" customFormat="1" ht="16.5" hidden="1" customHeight="1" x14ac:dyDescent="0.3">
      <c r="A29" s="84">
        <v>44713</v>
      </c>
      <c r="B29" s="121"/>
      <c r="C29" s="85" t="s">
        <v>13</v>
      </c>
      <c r="D29" s="85" t="s">
        <v>22</v>
      </c>
      <c r="E29" s="120">
        <v>24045</v>
      </c>
      <c r="F29" s="122"/>
      <c r="G29" s="120">
        <f t="shared" si="0"/>
        <v>59874996.005750179</v>
      </c>
    </row>
    <row r="30" spans="1:7" s="93" customFormat="1" ht="16.5" hidden="1" customHeight="1" x14ac:dyDescent="0.3">
      <c r="A30" s="84">
        <v>44713</v>
      </c>
      <c r="B30" s="121"/>
      <c r="C30" s="85" t="s">
        <v>13</v>
      </c>
      <c r="D30" s="85" t="s">
        <v>48</v>
      </c>
      <c r="E30" s="120">
        <v>100</v>
      </c>
      <c r="F30" s="122">
        <f>+E30*0.025</f>
        <v>2.5</v>
      </c>
      <c r="G30" s="120">
        <f t="shared" si="0"/>
        <v>59875093.505750179</v>
      </c>
    </row>
    <row r="31" spans="1:7" s="93" customFormat="1" ht="16.5" hidden="1" customHeight="1" x14ac:dyDescent="0.3">
      <c r="A31" s="84">
        <v>44713</v>
      </c>
      <c r="B31" s="121"/>
      <c r="C31" s="85" t="s">
        <v>13</v>
      </c>
      <c r="D31" s="85" t="s">
        <v>48</v>
      </c>
      <c r="E31" s="120">
        <v>1412.4</v>
      </c>
      <c r="F31" s="122">
        <f>+E31*0.025</f>
        <v>35.31</v>
      </c>
      <c r="G31" s="120">
        <f t="shared" si="0"/>
        <v>59876470.595750175</v>
      </c>
    </row>
    <row r="32" spans="1:7" s="93" customFormat="1" ht="16.5" hidden="1" customHeight="1" x14ac:dyDescent="0.3">
      <c r="A32" s="84">
        <v>44713</v>
      </c>
      <c r="B32" s="77"/>
      <c r="C32" s="85" t="s">
        <v>13</v>
      </c>
      <c r="D32" s="85" t="s">
        <v>48</v>
      </c>
      <c r="E32" s="120">
        <v>1028</v>
      </c>
      <c r="F32" s="122">
        <f>+E32*0.025</f>
        <v>25.700000000000003</v>
      </c>
      <c r="G32" s="110">
        <f t="shared" si="0"/>
        <v>59877472.895750172</v>
      </c>
    </row>
    <row r="33" spans="1:7" s="93" customFormat="1" ht="16.5" hidden="1" customHeight="1" x14ac:dyDescent="0.3">
      <c r="A33" s="84">
        <v>44743</v>
      </c>
      <c r="B33" s="121"/>
      <c r="C33" s="85" t="s">
        <v>13</v>
      </c>
      <c r="D33" s="85" t="s">
        <v>22</v>
      </c>
      <c r="E33" s="120">
        <v>61711</v>
      </c>
      <c r="F33" s="122"/>
      <c r="G33" s="120">
        <f t="shared" si="0"/>
        <v>59939183.895750172</v>
      </c>
    </row>
    <row r="34" spans="1:7" s="93" customFormat="1" ht="16.5" hidden="1" customHeight="1" x14ac:dyDescent="0.3">
      <c r="A34" s="84">
        <v>44743</v>
      </c>
      <c r="B34" s="121"/>
      <c r="C34" s="85" t="s">
        <v>13</v>
      </c>
      <c r="D34" s="85" t="s">
        <v>48</v>
      </c>
      <c r="E34" s="120">
        <v>6000</v>
      </c>
      <c r="F34" s="122">
        <f>+E34*0.025</f>
        <v>150</v>
      </c>
      <c r="G34" s="120">
        <f t="shared" si="0"/>
        <v>59945033.895750172</v>
      </c>
    </row>
    <row r="35" spans="1:7" s="93" customFormat="1" ht="16.5" hidden="1" customHeight="1" x14ac:dyDescent="0.3">
      <c r="A35" s="84">
        <v>44743</v>
      </c>
      <c r="B35" s="121"/>
      <c r="C35" s="85" t="s">
        <v>13</v>
      </c>
      <c r="D35" s="85" t="s">
        <v>48</v>
      </c>
      <c r="E35" s="120">
        <v>3020</v>
      </c>
      <c r="F35" s="122">
        <f t="shared" ref="F35:F59" si="1">+E35*0.025</f>
        <v>75.5</v>
      </c>
      <c r="G35" s="120">
        <f t="shared" si="0"/>
        <v>59947978.395750172</v>
      </c>
    </row>
    <row r="36" spans="1:7" s="93" customFormat="1" ht="16.5" hidden="1" customHeight="1" x14ac:dyDescent="0.3">
      <c r="A36" s="84">
        <v>44743</v>
      </c>
      <c r="B36" s="121"/>
      <c r="C36" s="85" t="s">
        <v>13</v>
      </c>
      <c r="D36" s="85" t="s">
        <v>48</v>
      </c>
      <c r="E36" s="120">
        <v>284.98</v>
      </c>
      <c r="F36" s="122">
        <f t="shared" si="1"/>
        <v>7.1245000000000012</v>
      </c>
      <c r="G36" s="120">
        <f t="shared" si="0"/>
        <v>59948256.25125017</v>
      </c>
    </row>
    <row r="37" spans="1:7" s="93" customFormat="1" ht="16.5" hidden="1" customHeight="1" x14ac:dyDescent="0.3">
      <c r="A37" s="84">
        <v>44743</v>
      </c>
      <c r="B37" s="121"/>
      <c r="C37" s="85" t="s">
        <v>13</v>
      </c>
      <c r="D37" s="85" t="s">
        <v>48</v>
      </c>
      <c r="E37" s="120">
        <v>500</v>
      </c>
      <c r="F37" s="122">
        <f t="shared" si="1"/>
        <v>12.5</v>
      </c>
      <c r="G37" s="120">
        <f t="shared" si="0"/>
        <v>59948743.75125017</v>
      </c>
    </row>
    <row r="38" spans="1:7" s="93" customFormat="1" ht="16.5" hidden="1" customHeight="1" x14ac:dyDescent="0.3">
      <c r="A38" s="84">
        <v>44743</v>
      </c>
      <c r="B38" s="77"/>
      <c r="C38" s="85" t="s">
        <v>13</v>
      </c>
      <c r="D38" s="85" t="s">
        <v>48</v>
      </c>
      <c r="E38" s="120">
        <v>635.48</v>
      </c>
      <c r="F38" s="122">
        <f t="shared" si="1"/>
        <v>15.887</v>
      </c>
      <c r="G38" s="110">
        <f t="shared" si="0"/>
        <v>59949363.344250165</v>
      </c>
    </row>
    <row r="39" spans="1:7" s="93" customFormat="1" ht="16.5" hidden="1" customHeight="1" x14ac:dyDescent="0.3">
      <c r="A39" s="84">
        <v>44866</v>
      </c>
      <c r="B39" s="121"/>
      <c r="C39" s="85" t="s">
        <v>13</v>
      </c>
      <c r="D39" s="85" t="s">
        <v>22</v>
      </c>
      <c r="E39" s="120">
        <v>45675</v>
      </c>
      <c r="F39" s="122"/>
      <c r="G39" s="120">
        <f t="shared" si="0"/>
        <v>59995038.344250165</v>
      </c>
    </row>
    <row r="40" spans="1:7" s="93" customFormat="1" ht="16.5" hidden="1" customHeight="1" x14ac:dyDescent="0.3">
      <c r="A40" s="84">
        <v>44866</v>
      </c>
      <c r="B40" s="77"/>
      <c r="C40" s="85" t="s">
        <v>13</v>
      </c>
      <c r="D40" s="85" t="s">
        <v>48</v>
      </c>
      <c r="E40" s="120">
        <v>100</v>
      </c>
      <c r="F40" s="122">
        <f t="shared" si="1"/>
        <v>2.5</v>
      </c>
      <c r="G40" s="110">
        <f t="shared" si="0"/>
        <v>59995135.844250165</v>
      </c>
    </row>
    <row r="41" spans="1:7" s="93" customFormat="1" ht="16.5" hidden="1" customHeight="1" x14ac:dyDescent="0.3">
      <c r="A41" s="84">
        <v>44896</v>
      </c>
      <c r="B41" s="121"/>
      <c r="C41" s="85" t="s">
        <v>13</v>
      </c>
      <c r="D41" s="85" t="s">
        <v>22</v>
      </c>
      <c r="E41" s="120">
        <v>28846</v>
      </c>
      <c r="F41" s="122"/>
      <c r="G41" s="120">
        <f t="shared" si="0"/>
        <v>60023981.844250165</v>
      </c>
    </row>
    <row r="42" spans="1:7" s="93" customFormat="1" ht="16.5" hidden="1" customHeight="1" x14ac:dyDescent="0.3">
      <c r="A42" s="84">
        <v>44896</v>
      </c>
      <c r="B42" s="121"/>
      <c r="C42" s="85" t="s">
        <v>13</v>
      </c>
      <c r="D42" s="85" t="s">
        <v>48</v>
      </c>
      <c r="E42" s="120">
        <v>633.21</v>
      </c>
      <c r="F42" s="122">
        <f t="shared" si="1"/>
        <v>15.830250000000001</v>
      </c>
      <c r="G42" s="120">
        <f t="shared" si="0"/>
        <v>60024599.224000163</v>
      </c>
    </row>
    <row r="43" spans="1:7" s="93" customFormat="1" ht="16.5" hidden="1" customHeight="1" x14ac:dyDescent="0.3">
      <c r="A43" s="84">
        <v>44896</v>
      </c>
      <c r="B43" s="121"/>
      <c r="C43" s="85" t="s">
        <v>13</v>
      </c>
      <c r="D43" s="85" t="s">
        <v>48</v>
      </c>
      <c r="E43" s="120">
        <v>121</v>
      </c>
      <c r="F43" s="122">
        <f t="shared" si="1"/>
        <v>3.0250000000000004</v>
      </c>
      <c r="G43" s="120">
        <f t="shared" si="0"/>
        <v>60024717.199000165</v>
      </c>
    </row>
    <row r="44" spans="1:7" s="93" customFormat="1" ht="16.5" hidden="1" customHeight="1" x14ac:dyDescent="0.3">
      <c r="A44" s="84">
        <v>44896</v>
      </c>
      <c r="B44" s="77"/>
      <c r="C44" s="85" t="s">
        <v>13</v>
      </c>
      <c r="D44" s="85" t="s">
        <v>48</v>
      </c>
      <c r="E44" s="120">
        <v>500</v>
      </c>
      <c r="F44" s="122">
        <f t="shared" si="1"/>
        <v>12.5</v>
      </c>
      <c r="G44" s="110">
        <f t="shared" si="0"/>
        <v>60025204.699000165</v>
      </c>
    </row>
    <row r="45" spans="1:7" s="93" customFormat="1" ht="17.25" hidden="1" customHeight="1" x14ac:dyDescent="0.3">
      <c r="A45" s="77" t="s">
        <v>381</v>
      </c>
      <c r="B45" s="121"/>
      <c r="C45" s="85" t="s">
        <v>13</v>
      </c>
      <c r="D45" s="85" t="s">
        <v>22</v>
      </c>
      <c r="E45" s="120">
        <v>36389</v>
      </c>
      <c r="F45" s="122"/>
      <c r="G45" s="120">
        <f t="shared" si="0"/>
        <v>60061593.699000165</v>
      </c>
    </row>
    <row r="46" spans="1:7" s="93" customFormat="1" ht="16.5" hidden="1" customHeight="1" x14ac:dyDescent="0.3">
      <c r="A46" s="77" t="s">
        <v>381</v>
      </c>
      <c r="B46" s="121"/>
      <c r="C46" s="85" t="s">
        <v>13</v>
      </c>
      <c r="D46" s="85" t="s">
        <v>48</v>
      </c>
      <c r="E46" s="120">
        <v>100</v>
      </c>
      <c r="F46" s="122">
        <f t="shared" si="1"/>
        <v>2.5</v>
      </c>
      <c r="G46" s="120">
        <f t="shared" si="0"/>
        <v>60061691.199000165</v>
      </c>
    </row>
    <row r="47" spans="1:7" s="93" customFormat="1" ht="16.5" hidden="1" customHeight="1" x14ac:dyDescent="0.3">
      <c r="A47" s="77" t="s">
        <v>381</v>
      </c>
      <c r="B47" s="121"/>
      <c r="C47" s="85" t="s">
        <v>13</v>
      </c>
      <c r="D47" s="85" t="s">
        <v>48</v>
      </c>
      <c r="E47" s="120">
        <v>287</v>
      </c>
      <c r="F47" s="122">
        <f t="shared" si="1"/>
        <v>7.1750000000000007</v>
      </c>
      <c r="G47" s="120">
        <f t="shared" si="0"/>
        <v>60061971.024000168</v>
      </c>
    </row>
    <row r="48" spans="1:7" s="93" customFormat="1" ht="16.5" hidden="1" customHeight="1" x14ac:dyDescent="0.3">
      <c r="A48" s="77" t="s">
        <v>381</v>
      </c>
      <c r="B48" s="77"/>
      <c r="C48" s="85" t="s">
        <v>13</v>
      </c>
      <c r="D48" s="85" t="s">
        <v>48</v>
      </c>
      <c r="E48" s="120">
        <v>1000</v>
      </c>
      <c r="F48" s="122">
        <f t="shared" si="1"/>
        <v>25</v>
      </c>
      <c r="G48" s="110">
        <f t="shared" si="0"/>
        <v>60062946.024000168</v>
      </c>
    </row>
    <row r="49" spans="1:7" s="93" customFormat="1" ht="16.5" hidden="1" customHeight="1" x14ac:dyDescent="0.3">
      <c r="A49" s="77" t="s">
        <v>394</v>
      </c>
      <c r="B49" s="121"/>
      <c r="C49" s="85" t="s">
        <v>13</v>
      </c>
      <c r="D49" s="85" t="s">
        <v>22</v>
      </c>
      <c r="E49" s="120">
        <v>59371</v>
      </c>
      <c r="F49" s="122"/>
      <c r="G49" s="120">
        <f t="shared" si="0"/>
        <v>60122317.024000168</v>
      </c>
    </row>
    <row r="50" spans="1:7" s="93" customFormat="1" ht="16.5" hidden="1" customHeight="1" x14ac:dyDescent="0.3">
      <c r="A50" s="77" t="s">
        <v>394</v>
      </c>
      <c r="B50" s="121"/>
      <c r="C50" s="85" t="s">
        <v>13</v>
      </c>
      <c r="D50" s="85" t="s">
        <v>22</v>
      </c>
      <c r="E50" s="120">
        <v>62.8</v>
      </c>
      <c r="F50" s="122">
        <f t="shared" si="1"/>
        <v>1.57</v>
      </c>
      <c r="G50" s="120">
        <f t="shared" si="0"/>
        <v>60122378.254000165</v>
      </c>
    </row>
    <row r="51" spans="1:7" s="93" customFormat="1" ht="16.5" hidden="1" customHeight="1" x14ac:dyDescent="0.3">
      <c r="A51" s="77" t="s">
        <v>394</v>
      </c>
      <c r="B51" s="121"/>
      <c r="C51" s="85" t="s">
        <v>13</v>
      </c>
      <c r="D51" s="85" t="s">
        <v>48</v>
      </c>
      <c r="E51" s="120">
        <v>300</v>
      </c>
      <c r="F51" s="122">
        <f t="shared" si="1"/>
        <v>7.5</v>
      </c>
      <c r="G51" s="120">
        <f t="shared" si="0"/>
        <v>60122670.754000165</v>
      </c>
    </row>
    <row r="52" spans="1:7" s="93" customFormat="1" ht="16.5" hidden="1" customHeight="1" x14ac:dyDescent="0.3">
      <c r="A52" s="77" t="s">
        <v>394</v>
      </c>
      <c r="B52" s="77"/>
      <c r="C52" s="85" t="s">
        <v>13</v>
      </c>
      <c r="D52" s="85" t="s">
        <v>48</v>
      </c>
      <c r="E52" s="120">
        <v>1600</v>
      </c>
      <c r="F52" s="122">
        <f t="shared" si="1"/>
        <v>40</v>
      </c>
      <c r="G52" s="110">
        <f t="shared" si="0"/>
        <v>60124230.754000165</v>
      </c>
    </row>
    <row r="53" spans="1:7" s="93" customFormat="1" ht="16.5" hidden="1" customHeight="1" x14ac:dyDescent="0.3">
      <c r="A53" s="77" t="s">
        <v>395</v>
      </c>
      <c r="B53" s="121"/>
      <c r="C53" s="85" t="s">
        <v>13</v>
      </c>
      <c r="D53" s="85" t="s">
        <v>22</v>
      </c>
      <c r="E53" s="120">
        <v>25862</v>
      </c>
      <c r="F53" s="122"/>
      <c r="G53" s="120">
        <f t="shared" si="0"/>
        <v>60150092.754000165</v>
      </c>
    </row>
    <row r="54" spans="1:7" s="93" customFormat="1" ht="16.5" hidden="1" customHeight="1" x14ac:dyDescent="0.3">
      <c r="A54" s="77" t="s">
        <v>395</v>
      </c>
      <c r="B54" s="121"/>
      <c r="C54" s="85" t="s">
        <v>13</v>
      </c>
      <c r="D54" s="85" t="s">
        <v>48</v>
      </c>
      <c r="E54" s="120">
        <v>605</v>
      </c>
      <c r="F54" s="122">
        <f t="shared" si="1"/>
        <v>15.125</v>
      </c>
      <c r="G54" s="120">
        <f t="shared" si="0"/>
        <v>60150682.629000165</v>
      </c>
    </row>
    <row r="55" spans="1:7" s="93" customFormat="1" ht="16.5" hidden="1" customHeight="1" x14ac:dyDescent="0.3">
      <c r="A55" s="77" t="s">
        <v>395</v>
      </c>
      <c r="B55" s="121"/>
      <c r="C55" s="85" t="s">
        <v>13</v>
      </c>
      <c r="D55" s="85" t="s">
        <v>48</v>
      </c>
      <c r="E55" s="120">
        <v>500</v>
      </c>
      <c r="F55" s="122">
        <f t="shared" si="1"/>
        <v>12.5</v>
      </c>
      <c r="G55" s="120">
        <f t="shared" si="0"/>
        <v>60151170.129000165</v>
      </c>
    </row>
    <row r="56" spans="1:7" s="93" customFormat="1" ht="16.5" hidden="1" customHeight="1" x14ac:dyDescent="0.3">
      <c r="A56" s="77" t="s">
        <v>395</v>
      </c>
      <c r="B56" s="77"/>
      <c r="C56" s="85" t="s">
        <v>13</v>
      </c>
      <c r="D56" s="85" t="s">
        <v>48</v>
      </c>
      <c r="E56" s="120">
        <v>100</v>
      </c>
      <c r="F56" s="122">
        <f t="shared" si="1"/>
        <v>2.5</v>
      </c>
      <c r="G56" s="110">
        <f t="shared" si="0"/>
        <v>60151267.629000165</v>
      </c>
    </row>
    <row r="57" spans="1:7" s="93" customFormat="1" ht="16.5" hidden="1" customHeight="1" x14ac:dyDescent="0.3">
      <c r="A57" s="77" t="s">
        <v>396</v>
      </c>
      <c r="B57" s="121"/>
      <c r="C57" s="85" t="s">
        <v>13</v>
      </c>
      <c r="D57" s="85" t="s">
        <v>22</v>
      </c>
      <c r="E57" s="120">
        <v>25496</v>
      </c>
      <c r="F57" s="122"/>
      <c r="G57" s="120">
        <f t="shared" si="0"/>
        <v>60176763.629000165</v>
      </c>
    </row>
    <row r="58" spans="1:7" s="93" customFormat="1" ht="16.5" hidden="1" customHeight="1" x14ac:dyDescent="0.3">
      <c r="A58" s="77" t="s">
        <v>396</v>
      </c>
      <c r="B58" s="121"/>
      <c r="C58" s="85" t="s">
        <v>13</v>
      </c>
      <c r="D58" s="85" t="s">
        <v>48</v>
      </c>
      <c r="E58" s="120">
        <v>1500</v>
      </c>
      <c r="F58" s="122">
        <f t="shared" si="1"/>
        <v>37.5</v>
      </c>
      <c r="G58" s="120">
        <f t="shared" si="0"/>
        <v>60178226.129000165</v>
      </c>
    </row>
    <row r="59" spans="1:7" s="93" customFormat="1" ht="16.5" hidden="1" customHeight="1" x14ac:dyDescent="0.3">
      <c r="A59" s="77" t="s">
        <v>396</v>
      </c>
      <c r="B59" s="121"/>
      <c r="C59" s="85" t="s">
        <v>13</v>
      </c>
      <c r="D59" s="85" t="s">
        <v>48</v>
      </c>
      <c r="E59" s="120">
        <v>135.24</v>
      </c>
      <c r="F59" s="122">
        <f t="shared" si="1"/>
        <v>3.3810000000000002</v>
      </c>
      <c r="G59" s="120">
        <f t="shared" si="0"/>
        <v>60178357.988000169</v>
      </c>
    </row>
    <row r="60" spans="1:7" s="93" customFormat="1" ht="16.5" hidden="1" customHeight="1" x14ac:dyDescent="0.3">
      <c r="A60" s="77" t="s">
        <v>396</v>
      </c>
      <c r="B60" s="121"/>
      <c r="C60" s="85" t="s">
        <v>12</v>
      </c>
      <c r="D60" s="85" t="s">
        <v>397</v>
      </c>
      <c r="E60" s="120">
        <v>2258637.36</v>
      </c>
      <c r="F60" s="122"/>
      <c r="G60" s="120">
        <f t="shared" si="0"/>
        <v>62436995.348000169</v>
      </c>
    </row>
    <row r="61" spans="1:7" s="93" customFormat="1" ht="16.5" hidden="1" customHeight="1" x14ac:dyDescent="0.3">
      <c r="A61" s="77" t="s">
        <v>396</v>
      </c>
      <c r="B61" s="121"/>
      <c r="C61" s="85" t="s">
        <v>12</v>
      </c>
      <c r="D61" s="85" t="s">
        <v>398</v>
      </c>
      <c r="E61" s="120">
        <v>587869.72</v>
      </c>
      <c r="F61" s="122"/>
      <c r="G61" s="120">
        <f t="shared" si="0"/>
        <v>63024865.068000168</v>
      </c>
    </row>
    <row r="62" spans="1:7" s="93" customFormat="1" ht="16.5" hidden="1" customHeight="1" x14ac:dyDescent="0.3">
      <c r="A62" s="77" t="s">
        <v>396</v>
      </c>
      <c r="B62" s="121"/>
      <c r="C62" s="85" t="s">
        <v>12</v>
      </c>
      <c r="D62" s="85" t="s">
        <v>398</v>
      </c>
      <c r="E62" s="120">
        <v>402744.42</v>
      </c>
      <c r="F62" s="122"/>
      <c r="G62" s="120">
        <f t="shared" si="0"/>
        <v>63427609.488000169</v>
      </c>
    </row>
    <row r="63" spans="1:7" s="93" customFormat="1" ht="16.5" hidden="1" customHeight="1" x14ac:dyDescent="0.3">
      <c r="A63" s="77" t="s">
        <v>396</v>
      </c>
      <c r="B63" s="121"/>
      <c r="C63" s="85" t="s">
        <v>12</v>
      </c>
      <c r="D63" s="85" t="s">
        <v>26</v>
      </c>
      <c r="E63" s="120">
        <v>9114325.3000000007</v>
      </c>
      <c r="F63" s="122"/>
      <c r="G63" s="120">
        <f t="shared" si="0"/>
        <v>72541934.788000166</v>
      </c>
    </row>
    <row r="64" spans="1:7" s="93" customFormat="1" ht="16.5" hidden="1" customHeight="1" x14ac:dyDescent="0.3">
      <c r="A64" s="77" t="s">
        <v>396</v>
      </c>
      <c r="B64" s="121"/>
      <c r="C64" s="85" t="s">
        <v>12</v>
      </c>
      <c r="D64" s="85" t="s">
        <v>552</v>
      </c>
      <c r="E64" s="120">
        <v>180373.38</v>
      </c>
      <c r="F64" s="122"/>
      <c r="G64" s="120">
        <f t="shared" si="0"/>
        <v>72722308.168000162</v>
      </c>
    </row>
    <row r="65" spans="1:7" s="93" customFormat="1" ht="16.5" hidden="1" customHeight="1" x14ac:dyDescent="0.3">
      <c r="A65" s="77" t="s">
        <v>396</v>
      </c>
      <c r="B65" s="121"/>
      <c r="C65" s="85" t="s">
        <v>12</v>
      </c>
      <c r="D65" s="85" t="s">
        <v>23</v>
      </c>
      <c r="E65" s="120">
        <v>579899.9</v>
      </c>
      <c r="F65" s="122"/>
      <c r="G65" s="120">
        <f t="shared" si="0"/>
        <v>73302208.068000168</v>
      </c>
    </row>
    <row r="66" spans="1:7" s="93" customFormat="1" ht="16.5" hidden="1" customHeight="1" x14ac:dyDescent="0.3">
      <c r="A66" s="77" t="s">
        <v>396</v>
      </c>
      <c r="B66" s="121"/>
      <c r="C66" s="85" t="s">
        <v>12</v>
      </c>
      <c r="D66" s="85" t="s">
        <v>90</v>
      </c>
      <c r="E66" s="120">
        <v>65900.160000000003</v>
      </c>
      <c r="F66" s="122"/>
      <c r="G66" s="120">
        <f t="shared" si="0"/>
        <v>73368108.228000164</v>
      </c>
    </row>
    <row r="67" spans="1:7" s="93" customFormat="1" ht="16.5" hidden="1" customHeight="1" x14ac:dyDescent="0.3">
      <c r="A67" s="77" t="s">
        <v>396</v>
      </c>
      <c r="B67" s="77"/>
      <c r="C67" s="85" t="s">
        <v>12</v>
      </c>
      <c r="D67" s="85" t="s">
        <v>23</v>
      </c>
      <c r="E67" s="120">
        <v>17600</v>
      </c>
      <c r="F67" s="122"/>
      <c r="G67" s="110">
        <f t="shared" si="0"/>
        <v>73385708.228000164</v>
      </c>
    </row>
    <row r="68" spans="1:7" s="93" customFormat="1" ht="18.75" hidden="1" customHeight="1" x14ac:dyDescent="0.3">
      <c r="A68" s="77" t="s">
        <v>406</v>
      </c>
      <c r="B68" s="77"/>
      <c r="C68" s="85" t="s">
        <v>13</v>
      </c>
      <c r="D68" s="85" t="s">
        <v>22</v>
      </c>
      <c r="E68" s="120">
        <v>39235</v>
      </c>
      <c r="F68" s="122"/>
      <c r="G68" s="120">
        <f t="shared" si="0"/>
        <v>73424943.228000164</v>
      </c>
    </row>
    <row r="69" spans="1:7" s="93" customFormat="1" ht="16.5" hidden="1" customHeight="1" x14ac:dyDescent="0.3">
      <c r="A69" s="77" t="s">
        <v>406</v>
      </c>
      <c r="B69" s="77"/>
      <c r="C69" s="85" t="s">
        <v>13</v>
      </c>
      <c r="D69" s="85" t="s">
        <v>48</v>
      </c>
      <c r="E69" s="120">
        <v>1335.48</v>
      </c>
      <c r="F69" s="122">
        <f>E69*0.025</f>
        <v>33.387</v>
      </c>
      <c r="G69" s="120">
        <f t="shared" si="0"/>
        <v>73426245.321000174</v>
      </c>
    </row>
    <row r="70" spans="1:7" s="93" customFormat="1" ht="32.25" hidden="1" customHeight="1" x14ac:dyDescent="0.3">
      <c r="A70" s="77" t="s">
        <v>406</v>
      </c>
      <c r="B70" s="145" t="s">
        <v>409</v>
      </c>
      <c r="C70" s="85" t="s">
        <v>410</v>
      </c>
      <c r="D70" s="85" t="s">
        <v>411</v>
      </c>
      <c r="E70" s="120"/>
      <c r="F70" s="122">
        <v>275894.40999999997</v>
      </c>
      <c r="G70" s="120">
        <f t="shared" si="0"/>
        <v>73150350.911000177</v>
      </c>
    </row>
    <row r="71" spans="1:7" s="93" customFormat="1" ht="32.25" hidden="1" customHeight="1" x14ac:dyDescent="0.3">
      <c r="A71" s="77" t="s">
        <v>406</v>
      </c>
      <c r="B71" s="77" t="s">
        <v>412</v>
      </c>
      <c r="C71" s="85" t="s">
        <v>413</v>
      </c>
      <c r="D71" s="85" t="s">
        <v>414</v>
      </c>
      <c r="E71" s="120"/>
      <c r="F71" s="122">
        <v>23000</v>
      </c>
      <c r="G71" s="120">
        <f t="shared" si="0"/>
        <v>73127350.911000177</v>
      </c>
    </row>
    <row r="72" spans="1:7" s="93" customFormat="1" ht="63.75" hidden="1" customHeight="1" x14ac:dyDescent="0.3">
      <c r="A72" s="77" t="s">
        <v>406</v>
      </c>
      <c r="B72" s="77" t="s">
        <v>415</v>
      </c>
      <c r="C72" s="144" t="s">
        <v>416</v>
      </c>
      <c r="D72" s="85" t="s">
        <v>417</v>
      </c>
      <c r="E72" s="120"/>
      <c r="F72" s="122">
        <v>38736</v>
      </c>
      <c r="G72" s="120">
        <f t="shared" si="0"/>
        <v>73088614.911000177</v>
      </c>
    </row>
    <row r="73" spans="1:7" s="93" customFormat="1" ht="48" hidden="1" customHeight="1" x14ac:dyDescent="0.3">
      <c r="A73" s="77" t="s">
        <v>406</v>
      </c>
      <c r="B73" s="77" t="s">
        <v>418</v>
      </c>
      <c r="C73" s="85" t="s">
        <v>419</v>
      </c>
      <c r="D73" s="85" t="s">
        <v>420</v>
      </c>
      <c r="E73" s="120"/>
      <c r="F73" s="122">
        <v>1383852.6</v>
      </c>
      <c r="G73" s="120">
        <f t="shared" si="0"/>
        <v>71704762.311000183</v>
      </c>
    </row>
    <row r="74" spans="1:7" s="93" customFormat="1" ht="32.25" hidden="1" customHeight="1" x14ac:dyDescent="0.3">
      <c r="A74" s="77" t="s">
        <v>406</v>
      </c>
      <c r="B74" s="77" t="s">
        <v>421</v>
      </c>
      <c r="C74" s="85" t="s">
        <v>422</v>
      </c>
      <c r="D74" s="85" t="s">
        <v>423</v>
      </c>
      <c r="E74" s="120"/>
      <c r="F74" s="122">
        <v>992360.77</v>
      </c>
      <c r="G74" s="120">
        <f t="shared" si="0"/>
        <v>70712401.541000187</v>
      </c>
    </row>
    <row r="75" spans="1:7" s="93" customFormat="1" ht="16.5" hidden="1" customHeight="1" x14ac:dyDescent="0.3">
      <c r="A75" s="77" t="s">
        <v>406</v>
      </c>
      <c r="B75" s="77" t="s">
        <v>424</v>
      </c>
      <c r="C75" s="85" t="s">
        <v>425</v>
      </c>
      <c r="D75" s="85" t="s">
        <v>426</v>
      </c>
      <c r="E75" s="120"/>
      <c r="F75" s="122">
        <v>678000</v>
      </c>
      <c r="G75" s="120">
        <f t="shared" si="0"/>
        <v>70034401.541000187</v>
      </c>
    </row>
    <row r="76" spans="1:7" s="93" customFormat="1" ht="48" hidden="1" customHeight="1" x14ac:dyDescent="0.3">
      <c r="A76" s="77" t="s">
        <v>406</v>
      </c>
      <c r="B76" s="77" t="s">
        <v>427</v>
      </c>
      <c r="C76" s="85" t="s">
        <v>47</v>
      </c>
      <c r="D76" s="85" t="s">
        <v>428</v>
      </c>
      <c r="E76" s="120"/>
      <c r="F76" s="122">
        <v>36000</v>
      </c>
      <c r="G76" s="120">
        <f t="shared" si="0"/>
        <v>69998401.541000187</v>
      </c>
    </row>
    <row r="77" spans="1:7" s="93" customFormat="1" ht="32.25" hidden="1" customHeight="1" x14ac:dyDescent="0.3">
      <c r="A77" s="77" t="s">
        <v>406</v>
      </c>
      <c r="B77" s="77" t="s">
        <v>429</v>
      </c>
      <c r="C77" s="85" t="s">
        <v>430</v>
      </c>
      <c r="D77" s="85" t="s">
        <v>431</v>
      </c>
      <c r="E77" s="120"/>
      <c r="F77" s="122">
        <v>142500</v>
      </c>
      <c r="G77" s="110">
        <f t="shared" si="0"/>
        <v>69855901.541000187</v>
      </c>
    </row>
    <row r="78" spans="1:7" s="93" customFormat="1" ht="16.5" hidden="1" customHeight="1" x14ac:dyDescent="0.3">
      <c r="A78" s="77" t="s">
        <v>405</v>
      </c>
      <c r="B78" s="77"/>
      <c r="C78" s="85" t="s">
        <v>13</v>
      </c>
      <c r="D78" s="85" t="s">
        <v>22</v>
      </c>
      <c r="E78" s="120">
        <v>63423</v>
      </c>
      <c r="F78" s="122"/>
      <c r="G78" s="120">
        <f t="shared" si="0"/>
        <v>69919324.541000187</v>
      </c>
    </row>
    <row r="79" spans="1:7" s="93" customFormat="1" ht="16.5" hidden="1" customHeight="1" x14ac:dyDescent="0.3">
      <c r="A79" s="77" t="s">
        <v>405</v>
      </c>
      <c r="B79" s="77"/>
      <c r="C79" s="85" t="s">
        <v>13</v>
      </c>
      <c r="D79" s="85" t="s">
        <v>48</v>
      </c>
      <c r="E79" s="120">
        <v>571</v>
      </c>
      <c r="F79" s="122">
        <f>E79*0.025</f>
        <v>14.275</v>
      </c>
      <c r="G79" s="120">
        <f t="shared" si="0"/>
        <v>69919881.266000181</v>
      </c>
    </row>
    <row r="80" spans="1:7" s="93" customFormat="1" ht="16.5" hidden="1" customHeight="1" x14ac:dyDescent="0.3">
      <c r="A80" s="77" t="s">
        <v>405</v>
      </c>
      <c r="B80" s="77"/>
      <c r="C80" s="85" t="s">
        <v>13</v>
      </c>
      <c r="D80" s="85" t="s">
        <v>48</v>
      </c>
      <c r="E80" s="120">
        <v>11102.06</v>
      </c>
      <c r="F80" s="122">
        <f>E80*0.025</f>
        <v>277.55149999999998</v>
      </c>
      <c r="G80" s="120">
        <f t="shared" si="0"/>
        <v>69930705.774500191</v>
      </c>
    </row>
    <row r="81" spans="1:128" s="93" customFormat="1" ht="16.5" hidden="1" customHeight="1" x14ac:dyDescent="0.3">
      <c r="A81" s="77" t="s">
        <v>405</v>
      </c>
      <c r="B81" s="77"/>
      <c r="C81" s="85" t="s">
        <v>13</v>
      </c>
      <c r="D81" s="85" t="s">
        <v>48</v>
      </c>
      <c r="E81" s="120">
        <v>5000</v>
      </c>
      <c r="F81" s="122">
        <f>E81*0.025</f>
        <v>125</v>
      </c>
      <c r="G81" s="120">
        <f t="shared" si="0"/>
        <v>69935580.774500191</v>
      </c>
    </row>
    <row r="82" spans="1:128" s="93" customFormat="1" ht="16.5" hidden="1" customHeight="1" x14ac:dyDescent="0.3">
      <c r="A82" s="77" t="s">
        <v>405</v>
      </c>
      <c r="B82" s="77"/>
      <c r="C82" s="85" t="s">
        <v>13</v>
      </c>
      <c r="D82" s="85" t="s">
        <v>48</v>
      </c>
      <c r="E82" s="120">
        <v>10000</v>
      </c>
      <c r="F82" s="122">
        <f>E82*0.025</f>
        <v>250</v>
      </c>
      <c r="G82" s="120">
        <f t="shared" si="0"/>
        <v>69945330.774500191</v>
      </c>
    </row>
    <row r="83" spans="1:128" s="93" customFormat="1" ht="16.5" hidden="1" customHeight="1" x14ac:dyDescent="0.3">
      <c r="A83" s="77" t="s">
        <v>405</v>
      </c>
      <c r="B83" s="77"/>
      <c r="C83" s="85" t="s">
        <v>12</v>
      </c>
      <c r="D83" s="85" t="s">
        <v>86</v>
      </c>
      <c r="E83" s="120">
        <v>30790.32</v>
      </c>
      <c r="F83" s="122"/>
      <c r="G83" s="120">
        <f t="shared" si="0"/>
        <v>69976121.094500184</v>
      </c>
    </row>
    <row r="84" spans="1:128" s="93" customFormat="1" ht="32.25" hidden="1" customHeight="1" x14ac:dyDescent="0.3">
      <c r="A84" s="77" t="s">
        <v>405</v>
      </c>
      <c r="B84" s="77" t="s">
        <v>432</v>
      </c>
      <c r="C84" s="85" t="s">
        <v>433</v>
      </c>
      <c r="D84" s="85" t="s">
        <v>434</v>
      </c>
      <c r="E84" s="120"/>
      <c r="F84" s="122">
        <v>1597330</v>
      </c>
      <c r="G84" s="120">
        <f t="shared" si="0"/>
        <v>68378791.094500184</v>
      </c>
    </row>
    <row r="85" spans="1:128" s="93" customFormat="1" ht="38.25" hidden="1" customHeight="1" x14ac:dyDescent="0.3">
      <c r="A85" s="77" t="s">
        <v>405</v>
      </c>
      <c r="B85" s="77" t="s">
        <v>435</v>
      </c>
      <c r="C85" s="85" t="s">
        <v>436</v>
      </c>
      <c r="D85" s="85" t="s">
        <v>437</v>
      </c>
      <c r="E85" s="120"/>
      <c r="F85" s="122">
        <v>8400</v>
      </c>
      <c r="G85" s="120">
        <f t="shared" si="0"/>
        <v>68370391.094500184</v>
      </c>
    </row>
    <row r="86" spans="1:128" s="93" customFormat="1" ht="32.25" hidden="1" customHeight="1" x14ac:dyDescent="0.3">
      <c r="A86" s="77" t="s">
        <v>405</v>
      </c>
      <c r="B86" s="77" t="s">
        <v>438</v>
      </c>
      <c r="C86" s="85" t="s">
        <v>439</v>
      </c>
      <c r="D86" s="85" t="s">
        <v>440</v>
      </c>
      <c r="E86" s="120"/>
      <c r="F86" s="122">
        <v>56682.2</v>
      </c>
      <c r="G86" s="120">
        <f t="shared" si="0"/>
        <v>68313708.894500181</v>
      </c>
    </row>
    <row r="87" spans="1:128" s="93" customFormat="1" ht="32.25" hidden="1" customHeight="1" x14ac:dyDescent="0.3">
      <c r="A87" s="77" t="s">
        <v>405</v>
      </c>
      <c r="B87" s="77" t="s">
        <v>441</v>
      </c>
      <c r="C87" s="85" t="s">
        <v>442</v>
      </c>
      <c r="D87" s="85" t="s">
        <v>443</v>
      </c>
      <c r="E87" s="120"/>
      <c r="F87" s="122">
        <v>458565.5</v>
      </c>
      <c r="G87" s="120">
        <f t="shared" si="0"/>
        <v>67855143.394500181</v>
      </c>
    </row>
    <row r="88" spans="1:128" s="93" customFormat="1" ht="48" hidden="1" customHeight="1" x14ac:dyDescent="0.3">
      <c r="A88" s="77" t="s">
        <v>405</v>
      </c>
      <c r="B88" s="77" t="s">
        <v>444</v>
      </c>
      <c r="C88" s="85" t="s">
        <v>445</v>
      </c>
      <c r="D88" s="85" t="s">
        <v>446</v>
      </c>
      <c r="E88" s="120"/>
      <c r="F88" s="122">
        <v>982895.5</v>
      </c>
      <c r="G88" s="120">
        <f t="shared" si="0"/>
        <v>66872247.894500181</v>
      </c>
    </row>
    <row r="89" spans="1:128" s="93" customFormat="1" ht="32.25" hidden="1" customHeight="1" x14ac:dyDescent="0.3">
      <c r="A89" s="77" t="s">
        <v>405</v>
      </c>
      <c r="B89" s="77" t="s">
        <v>447</v>
      </c>
      <c r="C89" s="85" t="s">
        <v>448</v>
      </c>
      <c r="D89" s="85" t="s">
        <v>449</v>
      </c>
      <c r="E89" s="120"/>
      <c r="F89" s="122">
        <v>1449455.93</v>
      </c>
      <c r="G89" s="120">
        <f t="shared" si="0"/>
        <v>65422791.964500181</v>
      </c>
    </row>
    <row r="90" spans="1:128" s="93" customFormat="1" ht="16.5" hidden="1" customHeight="1" x14ac:dyDescent="0.3">
      <c r="A90" s="77" t="s">
        <v>405</v>
      </c>
      <c r="B90" s="77" t="s">
        <v>450</v>
      </c>
      <c r="C90" s="85" t="s">
        <v>451</v>
      </c>
      <c r="D90" s="85" t="s">
        <v>452</v>
      </c>
      <c r="E90" s="120"/>
      <c r="F90" s="122">
        <v>4192.3</v>
      </c>
      <c r="G90" s="120">
        <f t="shared" si="0"/>
        <v>65418599.664500184</v>
      </c>
    </row>
    <row r="91" spans="1:128" s="93" customFormat="1" ht="16.5" hidden="1" customHeight="1" x14ac:dyDescent="0.3">
      <c r="A91" s="77" t="s">
        <v>405</v>
      </c>
      <c r="B91" s="77" t="s">
        <v>453</v>
      </c>
      <c r="C91" s="85" t="s">
        <v>454</v>
      </c>
      <c r="D91" s="85" t="s">
        <v>455</v>
      </c>
      <c r="E91" s="120"/>
      <c r="F91" s="122">
        <v>190319.73</v>
      </c>
      <c r="G91" s="120">
        <f t="shared" si="0"/>
        <v>65228279.934500188</v>
      </c>
    </row>
    <row r="92" spans="1:128" s="93" customFormat="1" ht="16.5" hidden="1" customHeight="1" x14ac:dyDescent="0.3">
      <c r="A92" s="77" t="s">
        <v>407</v>
      </c>
      <c r="B92" s="77"/>
      <c r="C92" s="85" t="s">
        <v>13</v>
      </c>
      <c r="D92" s="85" t="s">
        <v>22</v>
      </c>
      <c r="E92" s="120">
        <v>16847</v>
      </c>
      <c r="F92" s="122"/>
      <c r="G92" s="120">
        <f t="shared" si="0"/>
        <v>65245126.934500188</v>
      </c>
    </row>
    <row r="93" spans="1:128" s="75" customFormat="1" ht="19.5" hidden="1" customHeight="1" x14ac:dyDescent="0.25">
      <c r="A93" s="86" t="s">
        <v>407</v>
      </c>
      <c r="B93" s="87"/>
      <c r="C93" s="85" t="s">
        <v>13</v>
      </c>
      <c r="D93" s="85" t="s">
        <v>48</v>
      </c>
      <c r="E93" s="178">
        <v>900</v>
      </c>
      <c r="F93" s="36">
        <f>E93*0.025</f>
        <v>22.5</v>
      </c>
      <c r="G93" s="120">
        <f t="shared" si="0"/>
        <v>65246004.434500188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</row>
    <row r="94" spans="1:128" s="75" customFormat="1" ht="31.5" hidden="1" customHeight="1" x14ac:dyDescent="0.25">
      <c r="A94" s="86" t="s">
        <v>407</v>
      </c>
      <c r="B94" s="87" t="s">
        <v>474</v>
      </c>
      <c r="C94" s="85" t="s">
        <v>475</v>
      </c>
      <c r="D94" s="85" t="s">
        <v>476</v>
      </c>
      <c r="E94" s="178"/>
      <c r="F94" s="36">
        <v>17216</v>
      </c>
      <c r="G94" s="120">
        <f t="shared" si="0"/>
        <v>65228788.434500188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</row>
    <row r="95" spans="1:128" s="75" customFormat="1" ht="31.5" hidden="1" customHeight="1" x14ac:dyDescent="0.25">
      <c r="A95" s="86" t="s">
        <v>407</v>
      </c>
      <c r="B95" s="87" t="s">
        <v>456</v>
      </c>
      <c r="C95" s="85" t="s">
        <v>457</v>
      </c>
      <c r="D95" s="85" t="s">
        <v>458</v>
      </c>
      <c r="E95" s="178"/>
      <c r="F95" s="36">
        <v>219898</v>
      </c>
      <c r="G95" s="120">
        <f t="shared" ref="G95:G150" si="2">+G94+E95-F95</f>
        <v>65008890.434500188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</row>
    <row r="96" spans="1:128" s="75" customFormat="1" ht="31.5" hidden="1" customHeight="1" x14ac:dyDescent="0.25">
      <c r="A96" s="86" t="s">
        <v>407</v>
      </c>
      <c r="B96" s="87" t="s">
        <v>459</v>
      </c>
      <c r="C96" s="85" t="s">
        <v>460</v>
      </c>
      <c r="D96" s="85" t="s">
        <v>461</v>
      </c>
      <c r="E96" s="178"/>
      <c r="F96" s="36">
        <v>341443.63</v>
      </c>
      <c r="G96" s="120">
        <f t="shared" si="2"/>
        <v>64667446.804500185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</row>
    <row r="97" spans="1:128" s="75" customFormat="1" ht="31.5" hidden="1" customHeight="1" x14ac:dyDescent="0.25">
      <c r="A97" s="86" t="s">
        <v>407</v>
      </c>
      <c r="B97" s="87" t="s">
        <v>462</v>
      </c>
      <c r="C97" s="85" t="s">
        <v>463</v>
      </c>
      <c r="D97" s="85" t="s">
        <v>464</v>
      </c>
      <c r="E97" s="178"/>
      <c r="F97" s="36">
        <v>685786</v>
      </c>
      <c r="G97" s="120">
        <f t="shared" si="2"/>
        <v>63981660.804500185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</row>
    <row r="98" spans="1:128" s="75" customFormat="1" ht="31.5" hidden="1" customHeight="1" x14ac:dyDescent="0.25">
      <c r="A98" s="86" t="s">
        <v>407</v>
      </c>
      <c r="B98" s="87" t="s">
        <v>465</v>
      </c>
      <c r="C98" s="85" t="s">
        <v>466</v>
      </c>
      <c r="D98" s="85" t="s">
        <v>467</v>
      </c>
      <c r="E98" s="178"/>
      <c r="F98" s="36">
        <v>1283552.01</v>
      </c>
      <c r="G98" s="120">
        <f t="shared" si="2"/>
        <v>62698108.794500187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</row>
    <row r="99" spans="1:128" s="75" customFormat="1" ht="31.5" hidden="1" customHeight="1" x14ac:dyDescent="0.25">
      <c r="A99" s="86" t="s">
        <v>407</v>
      </c>
      <c r="B99" s="87" t="s">
        <v>470</v>
      </c>
      <c r="C99" s="85" t="s">
        <v>468</v>
      </c>
      <c r="D99" s="85" t="s">
        <v>469</v>
      </c>
      <c r="E99" s="178"/>
      <c r="F99" s="36">
        <v>446830.2</v>
      </c>
      <c r="G99" s="120">
        <f t="shared" si="2"/>
        <v>62251278.594500184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</row>
    <row r="100" spans="1:128" s="75" customFormat="1" ht="31.5" hidden="1" customHeight="1" x14ac:dyDescent="0.25">
      <c r="A100" s="86" t="s">
        <v>407</v>
      </c>
      <c r="B100" s="87" t="s">
        <v>471</v>
      </c>
      <c r="C100" s="85" t="s">
        <v>472</v>
      </c>
      <c r="D100" s="85" t="s">
        <v>473</v>
      </c>
      <c r="E100" s="178"/>
      <c r="F100" s="36">
        <v>500125.79</v>
      </c>
      <c r="G100" s="120">
        <f t="shared" si="2"/>
        <v>61751152.804500185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</row>
    <row r="101" spans="1:128" s="75" customFormat="1" ht="19.5" hidden="1" customHeight="1" x14ac:dyDescent="0.25">
      <c r="A101" s="86" t="s">
        <v>399</v>
      </c>
      <c r="B101" s="87"/>
      <c r="C101" s="85" t="s">
        <v>13</v>
      </c>
      <c r="D101" s="85" t="s">
        <v>22</v>
      </c>
      <c r="E101" s="178">
        <v>53506</v>
      </c>
      <c r="F101" s="36"/>
      <c r="G101" s="120">
        <f t="shared" si="2"/>
        <v>61804658.804500185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</row>
    <row r="102" spans="1:128" s="75" customFormat="1" ht="19.5" hidden="1" customHeight="1" x14ac:dyDescent="0.25">
      <c r="A102" s="86" t="s">
        <v>399</v>
      </c>
      <c r="B102" s="87"/>
      <c r="C102" s="85" t="s">
        <v>13</v>
      </c>
      <c r="D102" s="85" t="s">
        <v>48</v>
      </c>
      <c r="E102" s="178">
        <v>2149.2800000000002</v>
      </c>
      <c r="F102" s="36">
        <f>E102*0.025</f>
        <v>53.732000000000006</v>
      </c>
      <c r="G102" s="120">
        <f t="shared" si="2"/>
        <v>61806754.352500185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</row>
    <row r="103" spans="1:128" s="75" customFormat="1" ht="19.5" hidden="1" customHeight="1" x14ac:dyDescent="0.25">
      <c r="A103" s="86" t="s">
        <v>399</v>
      </c>
      <c r="B103" s="87"/>
      <c r="C103" s="85" t="s">
        <v>12</v>
      </c>
      <c r="D103" s="85" t="s">
        <v>23</v>
      </c>
      <c r="E103" s="178">
        <v>2837514.32</v>
      </c>
      <c r="F103" s="36"/>
      <c r="G103" s="120">
        <f t="shared" si="2"/>
        <v>64644268.672500186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</row>
    <row r="104" spans="1:128" s="75" customFormat="1" ht="19.5" hidden="1" customHeight="1" x14ac:dyDescent="0.25">
      <c r="A104" s="86" t="s">
        <v>399</v>
      </c>
      <c r="B104" s="87"/>
      <c r="C104" s="85" t="s">
        <v>12</v>
      </c>
      <c r="D104" s="85" t="s">
        <v>408</v>
      </c>
      <c r="E104" s="178">
        <v>1182156.6299999999</v>
      </c>
      <c r="F104" s="36"/>
      <c r="G104" s="120">
        <f t="shared" si="2"/>
        <v>65826425.302500188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</row>
    <row r="105" spans="1:128" s="75" customFormat="1" ht="19.5" hidden="1" customHeight="1" x14ac:dyDescent="0.25">
      <c r="A105" s="86" t="s">
        <v>399</v>
      </c>
      <c r="B105" s="87"/>
      <c r="C105" s="85" t="s">
        <v>12</v>
      </c>
      <c r="D105" s="85" t="s">
        <v>27</v>
      </c>
      <c r="E105" s="178">
        <v>1030638.23</v>
      </c>
      <c r="F105" s="36"/>
      <c r="G105" s="120">
        <f t="shared" si="2"/>
        <v>66857063.532500185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</row>
    <row r="106" spans="1:128" s="75" customFormat="1" ht="19.5" hidden="1" customHeight="1" x14ac:dyDescent="0.25">
      <c r="A106" s="86" t="s">
        <v>399</v>
      </c>
      <c r="B106" s="87"/>
      <c r="C106" s="85" t="s">
        <v>12</v>
      </c>
      <c r="D106" s="85" t="s">
        <v>33</v>
      </c>
      <c r="E106" s="178">
        <v>384465.09</v>
      </c>
      <c r="F106" s="36"/>
      <c r="G106" s="120">
        <f t="shared" si="2"/>
        <v>67241528.622500181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</row>
    <row r="107" spans="1:128" s="75" customFormat="1" ht="19.5" hidden="1" customHeight="1" x14ac:dyDescent="0.25">
      <c r="A107" s="86" t="s">
        <v>399</v>
      </c>
      <c r="B107" s="87"/>
      <c r="C107" s="85" t="s">
        <v>12</v>
      </c>
      <c r="D107" s="85" t="s">
        <v>361</v>
      </c>
      <c r="E107" s="178">
        <v>114114.9</v>
      </c>
      <c r="F107" s="36"/>
      <c r="G107" s="120">
        <f t="shared" si="2"/>
        <v>67355643.522500187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</row>
    <row r="108" spans="1:128" s="75" customFormat="1" ht="19.5" hidden="1" customHeight="1" x14ac:dyDescent="0.25">
      <c r="A108" s="86" t="s">
        <v>399</v>
      </c>
      <c r="B108" s="87"/>
      <c r="C108" s="85" t="s">
        <v>12</v>
      </c>
      <c r="D108" s="85" t="s">
        <v>361</v>
      </c>
      <c r="E108" s="178">
        <v>957161.89</v>
      </c>
      <c r="F108" s="36"/>
      <c r="G108" s="120">
        <f t="shared" si="2"/>
        <v>68312805.412500188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</row>
    <row r="109" spans="1:128" s="75" customFormat="1" ht="19.5" hidden="1" customHeight="1" x14ac:dyDescent="0.25">
      <c r="A109" s="86" t="s">
        <v>399</v>
      </c>
      <c r="B109" s="87"/>
      <c r="C109" s="85" t="s">
        <v>12</v>
      </c>
      <c r="D109" s="85" t="s">
        <v>23</v>
      </c>
      <c r="E109" s="178">
        <v>956681.25</v>
      </c>
      <c r="F109" s="36"/>
      <c r="G109" s="120">
        <f t="shared" si="2"/>
        <v>69269486.662500188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</row>
    <row r="110" spans="1:128" s="75" customFormat="1" ht="19.5" hidden="1" customHeight="1" x14ac:dyDescent="0.25">
      <c r="A110" s="86" t="s">
        <v>399</v>
      </c>
      <c r="B110" s="87"/>
      <c r="C110" s="85" t="s">
        <v>12</v>
      </c>
      <c r="D110" s="85" t="s">
        <v>88</v>
      </c>
      <c r="E110" s="178">
        <v>595923.28</v>
      </c>
      <c r="F110" s="36"/>
      <c r="G110" s="120">
        <f t="shared" si="2"/>
        <v>69865409.942500189</v>
      </c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</row>
    <row r="111" spans="1:128" s="75" customFormat="1" ht="19.5" hidden="1" customHeight="1" x14ac:dyDescent="0.25">
      <c r="A111" s="86" t="s">
        <v>399</v>
      </c>
      <c r="B111" s="87"/>
      <c r="C111" s="85" t="s">
        <v>12</v>
      </c>
      <c r="D111" s="85" t="s">
        <v>90</v>
      </c>
      <c r="E111" s="178">
        <v>67601.240000000005</v>
      </c>
      <c r="F111" s="36"/>
      <c r="G111" s="120">
        <f t="shared" si="2"/>
        <v>69933011.182500184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</row>
    <row r="112" spans="1:128" s="75" customFormat="1" ht="19.5" hidden="1" customHeight="1" x14ac:dyDescent="0.25">
      <c r="A112" s="86" t="s">
        <v>399</v>
      </c>
      <c r="B112" s="87"/>
      <c r="C112" s="85" t="s">
        <v>12</v>
      </c>
      <c r="D112" s="85" t="s">
        <v>361</v>
      </c>
      <c r="E112" s="178">
        <v>59135.26</v>
      </c>
      <c r="F112" s="36"/>
      <c r="G112" s="120">
        <f t="shared" si="2"/>
        <v>69992146.442500189</v>
      </c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</row>
    <row r="113" spans="1:128" s="75" customFormat="1" ht="16.5" hidden="1" customHeight="1" x14ac:dyDescent="0.25">
      <c r="A113" s="86" t="s">
        <v>399</v>
      </c>
      <c r="B113" s="87"/>
      <c r="C113" s="85" t="s">
        <v>12</v>
      </c>
      <c r="D113" s="85" t="s">
        <v>24</v>
      </c>
      <c r="E113" s="178">
        <v>56926.85</v>
      </c>
      <c r="F113" s="36"/>
      <c r="G113" s="120">
        <f t="shared" si="2"/>
        <v>70049073.292500183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</row>
    <row r="114" spans="1:128" s="75" customFormat="1" ht="16.5" hidden="1" customHeight="1" x14ac:dyDescent="0.25">
      <c r="A114" s="86" t="s">
        <v>403</v>
      </c>
      <c r="B114" s="87"/>
      <c r="C114" s="85" t="s">
        <v>13</v>
      </c>
      <c r="D114" s="85" t="s">
        <v>22</v>
      </c>
      <c r="E114" s="178">
        <v>45695</v>
      </c>
      <c r="F114" s="36"/>
      <c r="G114" s="120">
        <f t="shared" si="2"/>
        <v>70094768.292500183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</row>
    <row r="115" spans="1:128" s="75" customFormat="1" ht="16.5" hidden="1" customHeight="1" x14ac:dyDescent="0.25">
      <c r="A115" s="86" t="s">
        <v>403</v>
      </c>
      <c r="B115" s="87"/>
      <c r="C115" s="85" t="s">
        <v>13</v>
      </c>
      <c r="D115" s="85" t="s">
        <v>48</v>
      </c>
      <c r="E115" s="178">
        <v>1701.84</v>
      </c>
      <c r="F115" s="36">
        <f>E115*0.025</f>
        <v>42.545999999999999</v>
      </c>
      <c r="G115" s="120">
        <f t="shared" si="2"/>
        <v>70096427.586500183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</row>
    <row r="116" spans="1:128" s="75" customFormat="1" ht="63" hidden="1" customHeight="1" x14ac:dyDescent="0.25">
      <c r="A116" s="86" t="s">
        <v>403</v>
      </c>
      <c r="B116" s="87" t="s">
        <v>478</v>
      </c>
      <c r="C116" s="85" t="s">
        <v>479</v>
      </c>
      <c r="D116" s="85" t="s">
        <v>480</v>
      </c>
      <c r="E116" s="178"/>
      <c r="F116" s="36">
        <f>82076.02</f>
        <v>82076.02</v>
      </c>
      <c r="G116" s="120">
        <f t="shared" si="2"/>
        <v>70014351.566500187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</row>
    <row r="117" spans="1:128" s="75" customFormat="1" ht="31.5" hidden="1" customHeight="1" x14ac:dyDescent="0.25">
      <c r="A117" s="86" t="s">
        <v>403</v>
      </c>
      <c r="B117" s="87" t="s">
        <v>481</v>
      </c>
      <c r="C117" s="85" t="s">
        <v>482</v>
      </c>
      <c r="D117" s="85" t="s">
        <v>483</v>
      </c>
      <c r="E117" s="178"/>
      <c r="F117" s="36">
        <v>508387</v>
      </c>
      <c r="G117" s="120">
        <f t="shared" si="2"/>
        <v>69505964.566500187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</row>
    <row r="118" spans="1:128" s="75" customFormat="1" ht="31.5" hidden="1" customHeight="1" x14ac:dyDescent="0.25">
      <c r="A118" s="86" t="s">
        <v>403</v>
      </c>
      <c r="B118" s="87" t="s">
        <v>484</v>
      </c>
      <c r="C118" s="85" t="s">
        <v>63</v>
      </c>
      <c r="D118" s="85" t="s">
        <v>485</v>
      </c>
      <c r="E118" s="178"/>
      <c r="F118" s="36">
        <v>855657.4</v>
      </c>
      <c r="G118" s="120">
        <f t="shared" si="2"/>
        <v>68650307.166500181</v>
      </c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</row>
    <row r="119" spans="1:128" s="75" customFormat="1" ht="47.25" hidden="1" customHeight="1" x14ac:dyDescent="0.25">
      <c r="A119" s="86" t="s">
        <v>403</v>
      </c>
      <c r="B119" s="87" t="s">
        <v>486</v>
      </c>
      <c r="C119" s="85" t="s">
        <v>457</v>
      </c>
      <c r="D119" s="85" t="s">
        <v>487</v>
      </c>
      <c r="E119" s="178"/>
      <c r="F119" s="36">
        <v>769560.2</v>
      </c>
      <c r="G119" s="120">
        <f t="shared" si="2"/>
        <v>67880746.966500178</v>
      </c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</row>
    <row r="120" spans="1:128" s="75" customFormat="1" ht="31.5" hidden="1" customHeight="1" x14ac:dyDescent="0.25">
      <c r="A120" s="86" t="s">
        <v>403</v>
      </c>
      <c r="B120" s="87" t="s">
        <v>488</v>
      </c>
      <c r="C120" s="85" t="s">
        <v>489</v>
      </c>
      <c r="D120" s="85" t="s">
        <v>490</v>
      </c>
      <c r="E120" s="178"/>
      <c r="F120" s="36">
        <v>25549.5</v>
      </c>
      <c r="G120" s="120">
        <f t="shared" si="2"/>
        <v>67855197.466500178</v>
      </c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</row>
    <row r="121" spans="1:128" s="75" customFormat="1" ht="63" hidden="1" customHeight="1" x14ac:dyDescent="0.25">
      <c r="A121" s="86" t="s">
        <v>403</v>
      </c>
      <c r="B121" s="87" t="s">
        <v>491</v>
      </c>
      <c r="C121" s="85" t="s">
        <v>99</v>
      </c>
      <c r="D121" s="85" t="s">
        <v>492</v>
      </c>
      <c r="E121" s="178"/>
      <c r="F121" s="36">
        <v>1022388.67</v>
      </c>
      <c r="G121" s="120">
        <f t="shared" si="2"/>
        <v>66832808.796500176</v>
      </c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</row>
    <row r="122" spans="1:128" s="75" customFormat="1" ht="31.5" hidden="1" customHeight="1" x14ac:dyDescent="0.25">
      <c r="A122" s="86" t="s">
        <v>403</v>
      </c>
      <c r="B122" s="87" t="s">
        <v>493</v>
      </c>
      <c r="C122" s="85" t="s">
        <v>494</v>
      </c>
      <c r="D122" s="85" t="s">
        <v>495</v>
      </c>
      <c r="E122" s="178"/>
      <c r="F122" s="36">
        <v>1743239.2</v>
      </c>
      <c r="G122" s="120">
        <f t="shared" si="2"/>
        <v>65089569.596500173</v>
      </c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</row>
    <row r="123" spans="1:128" s="75" customFormat="1" ht="31.5" hidden="1" customHeight="1" x14ac:dyDescent="0.25">
      <c r="A123" s="86" t="s">
        <v>403</v>
      </c>
      <c r="B123" s="87" t="s">
        <v>496</v>
      </c>
      <c r="C123" s="85" t="s">
        <v>532</v>
      </c>
      <c r="D123" s="85" t="s">
        <v>497</v>
      </c>
      <c r="E123" s="178"/>
      <c r="F123" s="36">
        <v>411587.5</v>
      </c>
      <c r="G123" s="120">
        <f t="shared" si="2"/>
        <v>64677982.096500173</v>
      </c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</row>
    <row r="124" spans="1:128" s="75" customFormat="1" ht="31.5" hidden="1" customHeight="1" x14ac:dyDescent="0.25">
      <c r="A124" s="86" t="s">
        <v>403</v>
      </c>
      <c r="B124" s="87" t="s">
        <v>498</v>
      </c>
      <c r="C124" s="85" t="s">
        <v>499</v>
      </c>
      <c r="D124" s="85" t="s">
        <v>500</v>
      </c>
      <c r="E124" s="178"/>
      <c r="F124" s="36">
        <v>243515</v>
      </c>
      <c r="G124" s="120">
        <f t="shared" si="2"/>
        <v>64434467.096500173</v>
      </c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</row>
    <row r="125" spans="1:128" s="75" customFormat="1" ht="31.5" hidden="1" customHeight="1" x14ac:dyDescent="0.25">
      <c r="A125" s="86" t="s">
        <v>403</v>
      </c>
      <c r="B125" s="87" t="s">
        <v>501</v>
      </c>
      <c r="C125" s="85" t="s">
        <v>92</v>
      </c>
      <c r="D125" s="85" t="s">
        <v>502</v>
      </c>
      <c r="E125" s="178"/>
      <c r="F125" s="36">
        <v>640009.4</v>
      </c>
      <c r="G125" s="120">
        <f t="shared" si="2"/>
        <v>63794457.696500175</v>
      </c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</row>
    <row r="126" spans="1:128" s="75" customFormat="1" ht="31.5" hidden="1" customHeight="1" x14ac:dyDescent="0.25">
      <c r="A126" s="86" t="s">
        <v>403</v>
      </c>
      <c r="B126" s="87" t="s">
        <v>503</v>
      </c>
      <c r="C126" s="85" t="s">
        <v>203</v>
      </c>
      <c r="D126" s="85" t="s">
        <v>504</v>
      </c>
      <c r="E126" s="178"/>
      <c r="F126" s="36">
        <v>1084800</v>
      </c>
      <c r="G126" s="120">
        <f t="shared" si="2"/>
        <v>62709657.696500175</v>
      </c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</row>
    <row r="127" spans="1:128" s="75" customFormat="1" ht="16.5" hidden="1" customHeight="1" x14ac:dyDescent="0.25">
      <c r="A127" s="86" t="s">
        <v>477</v>
      </c>
      <c r="B127" s="87"/>
      <c r="C127" s="85" t="s">
        <v>13</v>
      </c>
      <c r="D127" s="85" t="s">
        <v>22</v>
      </c>
      <c r="E127" s="178">
        <v>109319</v>
      </c>
      <c r="F127" s="36"/>
      <c r="G127" s="120">
        <f t="shared" si="2"/>
        <v>62818976.696500175</v>
      </c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</row>
    <row r="128" spans="1:128" s="75" customFormat="1" ht="16.5" hidden="1" customHeight="1" x14ac:dyDescent="0.25">
      <c r="A128" s="86" t="s">
        <v>477</v>
      </c>
      <c r="B128" s="87"/>
      <c r="C128" s="85" t="s">
        <v>13</v>
      </c>
      <c r="D128" s="85" t="s">
        <v>48</v>
      </c>
      <c r="E128" s="178">
        <f>27115.12</f>
        <v>27115.119999999999</v>
      </c>
      <c r="F128" s="36">
        <f>E128*0.025</f>
        <v>677.87800000000004</v>
      </c>
      <c r="G128" s="120">
        <f t="shared" si="2"/>
        <v>62845413.938500173</v>
      </c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</row>
    <row r="129" spans="1:128" s="75" customFormat="1" ht="31.5" hidden="1" customHeight="1" x14ac:dyDescent="0.25">
      <c r="A129" s="86" t="s">
        <v>477</v>
      </c>
      <c r="B129" s="87" t="s">
        <v>508</v>
      </c>
      <c r="C129" s="85" t="s">
        <v>76</v>
      </c>
      <c r="D129" s="85" t="s">
        <v>509</v>
      </c>
      <c r="E129" s="178"/>
      <c r="F129" s="36">
        <f>74580</f>
        <v>74580</v>
      </c>
      <c r="G129" s="120">
        <f t="shared" si="2"/>
        <v>62770833.938500173</v>
      </c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</row>
    <row r="130" spans="1:128" s="75" customFormat="1" ht="31.5" hidden="1" customHeight="1" x14ac:dyDescent="0.25">
      <c r="A130" s="86" t="s">
        <v>477</v>
      </c>
      <c r="B130" s="87" t="s">
        <v>510</v>
      </c>
      <c r="C130" s="85" t="s">
        <v>55</v>
      </c>
      <c r="D130" s="85" t="s">
        <v>511</v>
      </c>
      <c r="E130" s="178"/>
      <c r="F130" s="36">
        <v>1087037.5</v>
      </c>
      <c r="G130" s="120">
        <f t="shared" si="2"/>
        <v>61683796.438500173</v>
      </c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</row>
    <row r="131" spans="1:128" s="75" customFormat="1" ht="31.5" hidden="1" customHeight="1" x14ac:dyDescent="0.25">
      <c r="A131" s="86" t="s">
        <v>477</v>
      </c>
      <c r="B131" s="87" t="s">
        <v>512</v>
      </c>
      <c r="C131" s="85" t="s">
        <v>513</v>
      </c>
      <c r="D131" s="85" t="s">
        <v>514</v>
      </c>
      <c r="E131" s="178"/>
      <c r="F131" s="36">
        <v>893640</v>
      </c>
      <c r="G131" s="120">
        <f t="shared" si="2"/>
        <v>60790156.438500173</v>
      </c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</row>
    <row r="132" spans="1:128" s="75" customFormat="1" ht="16.5" hidden="1" customHeight="1" x14ac:dyDescent="0.25">
      <c r="A132" s="86" t="s">
        <v>477</v>
      </c>
      <c r="B132" s="87" t="s">
        <v>515</v>
      </c>
      <c r="C132" s="85" t="s">
        <v>53</v>
      </c>
      <c r="D132" s="85" t="s">
        <v>516</v>
      </c>
      <c r="E132" s="178"/>
      <c r="F132" s="36">
        <v>191187.5</v>
      </c>
      <c r="G132" s="120">
        <f t="shared" si="2"/>
        <v>60598968.938500173</v>
      </c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</row>
    <row r="133" spans="1:128" s="75" customFormat="1" ht="47.25" hidden="1" customHeight="1" x14ac:dyDescent="0.25">
      <c r="A133" s="86" t="s">
        <v>477</v>
      </c>
      <c r="B133" s="87" t="s">
        <v>517</v>
      </c>
      <c r="C133" s="85" t="s">
        <v>518</v>
      </c>
      <c r="D133" s="85" t="s">
        <v>519</v>
      </c>
      <c r="E133" s="178"/>
      <c r="F133" s="36">
        <v>526161.55000000005</v>
      </c>
      <c r="G133" s="120">
        <f t="shared" si="2"/>
        <v>60072807.388500176</v>
      </c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</row>
    <row r="134" spans="1:128" s="75" customFormat="1" ht="15.75" hidden="1" customHeight="1" x14ac:dyDescent="0.25">
      <c r="A134" s="86" t="s">
        <v>505</v>
      </c>
      <c r="B134" s="87"/>
      <c r="C134" s="85" t="s">
        <v>13</v>
      </c>
      <c r="D134" s="85" t="s">
        <v>22</v>
      </c>
      <c r="E134" s="178">
        <v>29785</v>
      </c>
      <c r="F134" s="36"/>
      <c r="G134" s="120">
        <f t="shared" si="2"/>
        <v>60102592.388500176</v>
      </c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</row>
    <row r="135" spans="1:128" s="75" customFormat="1" ht="15.75" hidden="1" customHeight="1" x14ac:dyDescent="0.25">
      <c r="A135" s="86" t="s">
        <v>505</v>
      </c>
      <c r="B135" s="87"/>
      <c r="C135" s="85" t="s">
        <v>13</v>
      </c>
      <c r="D135" s="85" t="s">
        <v>48</v>
      </c>
      <c r="E135" s="178">
        <v>572</v>
      </c>
      <c r="F135" s="36">
        <f>E135*0.025</f>
        <v>14.3</v>
      </c>
      <c r="G135" s="120">
        <f t="shared" si="2"/>
        <v>60103150.088500179</v>
      </c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</row>
    <row r="136" spans="1:128" s="75" customFormat="1" ht="15.75" hidden="1" customHeight="1" x14ac:dyDescent="0.25">
      <c r="A136" s="86" t="s">
        <v>505</v>
      </c>
      <c r="B136" s="87"/>
      <c r="C136" s="85" t="s">
        <v>12</v>
      </c>
      <c r="D136" s="85" t="s">
        <v>533</v>
      </c>
      <c r="E136" s="178">
        <v>20775584.460000001</v>
      </c>
      <c r="F136" s="36"/>
      <c r="G136" s="120">
        <f t="shared" si="2"/>
        <v>80878734.54850018</v>
      </c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</row>
    <row r="137" spans="1:128" s="75" customFormat="1" ht="15.75" hidden="1" customHeight="1" x14ac:dyDescent="0.25">
      <c r="A137" s="86" t="s">
        <v>505</v>
      </c>
      <c r="B137" s="87"/>
      <c r="C137" s="85" t="s">
        <v>12</v>
      </c>
      <c r="D137" s="85" t="s">
        <v>534</v>
      </c>
      <c r="E137" s="178">
        <v>215615.74</v>
      </c>
      <c r="F137" s="36"/>
      <c r="G137" s="120">
        <f t="shared" si="2"/>
        <v>81094350.288500175</v>
      </c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</row>
    <row r="138" spans="1:128" s="75" customFormat="1" ht="15.75" hidden="1" customHeight="1" x14ac:dyDescent="0.25">
      <c r="A138" s="86" t="s">
        <v>505</v>
      </c>
      <c r="B138" s="87"/>
      <c r="C138" s="85" t="s">
        <v>12</v>
      </c>
      <c r="D138" s="85" t="s">
        <v>23</v>
      </c>
      <c r="E138" s="178">
        <v>206241.36</v>
      </c>
      <c r="F138" s="36"/>
      <c r="G138" s="120">
        <f t="shared" si="2"/>
        <v>81300591.648500174</v>
      </c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</row>
    <row r="139" spans="1:128" s="75" customFormat="1" ht="15.75" hidden="1" customHeight="1" x14ac:dyDescent="0.25">
      <c r="A139" s="86" t="s">
        <v>505</v>
      </c>
      <c r="B139" s="87"/>
      <c r="C139" s="85" t="s">
        <v>12</v>
      </c>
      <c r="D139" s="85" t="s">
        <v>535</v>
      </c>
      <c r="E139" s="178">
        <v>50000</v>
      </c>
      <c r="F139" s="36"/>
      <c r="G139" s="120">
        <f t="shared" si="2"/>
        <v>81350591.648500174</v>
      </c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</row>
    <row r="140" spans="1:128" s="75" customFormat="1" ht="31.5" hidden="1" customHeight="1" x14ac:dyDescent="0.25">
      <c r="A140" s="86" t="s">
        <v>505</v>
      </c>
      <c r="B140" s="87" t="s">
        <v>506</v>
      </c>
      <c r="C140" s="85" t="s">
        <v>83</v>
      </c>
      <c r="D140" s="85" t="s">
        <v>507</v>
      </c>
      <c r="E140" s="178"/>
      <c r="F140" s="36">
        <f>439518.65</f>
        <v>439518.65</v>
      </c>
      <c r="G140" s="120">
        <f t="shared" si="2"/>
        <v>80911072.998500168</v>
      </c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</row>
    <row r="141" spans="1:128" s="75" customFormat="1" ht="15.75" hidden="1" customHeight="1" x14ac:dyDescent="0.25">
      <c r="A141" s="86" t="s">
        <v>505</v>
      </c>
      <c r="B141" s="87" t="s">
        <v>520</v>
      </c>
      <c r="C141" s="85" t="s">
        <v>521</v>
      </c>
      <c r="D141" s="85" t="s">
        <v>529</v>
      </c>
      <c r="E141" s="178">
        <v>31544182.649999999</v>
      </c>
      <c r="F141" s="36"/>
      <c r="G141" s="120">
        <f t="shared" si="2"/>
        <v>112455255.64850017</v>
      </c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</row>
    <row r="142" spans="1:128" s="75" customFormat="1" ht="31.5" hidden="1" customHeight="1" x14ac:dyDescent="0.25">
      <c r="A142" s="86" t="s">
        <v>505</v>
      </c>
      <c r="B142" s="87" t="s">
        <v>520</v>
      </c>
      <c r="C142" s="85" t="s">
        <v>32</v>
      </c>
      <c r="D142" s="85" t="s">
        <v>527</v>
      </c>
      <c r="E142" s="178"/>
      <c r="F142" s="36">
        <f>24310139.7</f>
        <v>24310139.699999999</v>
      </c>
      <c r="G142" s="120">
        <f t="shared" si="2"/>
        <v>88145115.948500171</v>
      </c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</row>
    <row r="143" spans="1:128" s="75" customFormat="1" ht="31.5" hidden="1" customHeight="1" x14ac:dyDescent="0.25">
      <c r="A143" s="86" t="s">
        <v>505</v>
      </c>
      <c r="B143" s="87" t="s">
        <v>520</v>
      </c>
      <c r="C143" s="85" t="s">
        <v>32</v>
      </c>
      <c r="D143" s="85" t="s">
        <v>526</v>
      </c>
      <c r="E143" s="178"/>
      <c r="F143" s="36">
        <v>3024509.55</v>
      </c>
      <c r="G143" s="120">
        <f t="shared" si="2"/>
        <v>85120606.398500174</v>
      </c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</row>
    <row r="144" spans="1:128" s="75" customFormat="1" ht="31.5" hidden="1" customHeight="1" x14ac:dyDescent="0.25">
      <c r="A144" s="86" t="s">
        <v>505</v>
      </c>
      <c r="B144" s="87" t="s">
        <v>520</v>
      </c>
      <c r="C144" s="85" t="s">
        <v>32</v>
      </c>
      <c r="D144" s="85" t="s">
        <v>528</v>
      </c>
      <c r="E144" s="178"/>
      <c r="F144" s="36">
        <f>1938026.9+1940760.68</f>
        <v>3878787.58</v>
      </c>
      <c r="G144" s="120">
        <f t="shared" si="2"/>
        <v>81241818.818500176</v>
      </c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</row>
    <row r="145" spans="1:128" s="75" customFormat="1" ht="15.75" hidden="1" customHeight="1" x14ac:dyDescent="0.25">
      <c r="A145" s="86" t="s">
        <v>505</v>
      </c>
      <c r="B145" s="87" t="s">
        <v>520</v>
      </c>
      <c r="C145" s="85" t="s">
        <v>32</v>
      </c>
      <c r="D145" s="85" t="s">
        <v>525</v>
      </c>
      <c r="E145" s="178"/>
      <c r="F145" s="36">
        <f>312718.51</f>
        <v>312718.51</v>
      </c>
      <c r="G145" s="120">
        <f t="shared" si="2"/>
        <v>80929100.308500171</v>
      </c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</row>
    <row r="146" spans="1:128" s="75" customFormat="1" ht="31.5" hidden="1" customHeight="1" x14ac:dyDescent="0.25">
      <c r="A146" s="86" t="s">
        <v>505</v>
      </c>
      <c r="B146" s="87" t="s">
        <v>522</v>
      </c>
      <c r="C146" s="85" t="s">
        <v>32</v>
      </c>
      <c r="D146" s="85" t="s">
        <v>523</v>
      </c>
      <c r="E146" s="178"/>
      <c r="F146" s="36">
        <v>65000</v>
      </c>
      <c r="G146" s="120">
        <f t="shared" si="2"/>
        <v>80864100.308500171</v>
      </c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</row>
    <row r="147" spans="1:128" s="75" customFormat="1" ht="15.75" hidden="1" customHeight="1" x14ac:dyDescent="0.25">
      <c r="A147" s="86" t="s">
        <v>505</v>
      </c>
      <c r="B147" s="87" t="s">
        <v>524</v>
      </c>
      <c r="C147" s="85" t="s">
        <v>32</v>
      </c>
      <c r="D147" s="85" t="s">
        <v>529</v>
      </c>
      <c r="E147" s="178"/>
      <c r="F147" s="36">
        <v>8174261.2300000004</v>
      </c>
      <c r="G147" s="120">
        <f t="shared" si="2"/>
        <v>72689839.078500167</v>
      </c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</row>
    <row r="148" spans="1:128" s="75" customFormat="1" ht="15.75" hidden="1" customHeight="1" x14ac:dyDescent="0.25">
      <c r="A148" s="86" t="s">
        <v>505</v>
      </c>
      <c r="B148" s="87" t="s">
        <v>530</v>
      </c>
      <c r="C148" s="85" t="s">
        <v>32</v>
      </c>
      <c r="D148" s="85" t="s">
        <v>531</v>
      </c>
      <c r="E148" s="178"/>
      <c r="F148" s="36">
        <v>1640803.89</v>
      </c>
      <c r="G148" s="120">
        <f t="shared" si="2"/>
        <v>71049035.188500166</v>
      </c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</row>
    <row r="149" spans="1:128" s="75" customFormat="1" ht="15.75" hidden="1" customHeight="1" x14ac:dyDescent="0.25">
      <c r="A149" s="86" t="s">
        <v>505</v>
      </c>
      <c r="B149" s="87"/>
      <c r="C149" s="85" t="s">
        <v>73</v>
      </c>
      <c r="D149" s="85" t="s">
        <v>553</v>
      </c>
      <c r="E149" s="178">
        <v>170728.99</v>
      </c>
      <c r="F149" s="36"/>
      <c r="G149" s="120">
        <f t="shared" si="2"/>
        <v>71219764.178500161</v>
      </c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</row>
    <row r="150" spans="1:128" s="75" customFormat="1" ht="15.75" hidden="1" customHeight="1" x14ac:dyDescent="0.25">
      <c r="A150" s="86" t="s">
        <v>505</v>
      </c>
      <c r="B150" s="87"/>
      <c r="C150" s="85" t="s">
        <v>73</v>
      </c>
      <c r="D150" s="85" t="s">
        <v>553</v>
      </c>
      <c r="E150" s="178">
        <v>40558.949999999997</v>
      </c>
      <c r="F150" s="36"/>
      <c r="G150" s="120">
        <f t="shared" si="2"/>
        <v>71260323.128500164</v>
      </c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</row>
    <row r="151" spans="1:128" s="75" customFormat="1" ht="30" hidden="1" customHeight="1" thickBot="1" x14ac:dyDescent="0.3">
      <c r="A151" s="45"/>
      <c r="B151" s="71"/>
      <c r="D151" s="51"/>
      <c r="E151" s="61">
        <f>E134+E135+E136+E137+E138+E139+E141+E149+E150</f>
        <v>53033269.149999999</v>
      </c>
      <c r="F151" s="61">
        <f>F135+F140+F142+F143+F144+F145+F146+F147+F148</f>
        <v>41845753.410000004</v>
      </c>
      <c r="G151" s="9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</row>
    <row r="152" spans="1:128" s="75" customFormat="1" ht="30" hidden="1" customHeight="1" thickTop="1" x14ac:dyDescent="0.25">
      <c r="A152" s="45"/>
      <c r="B152" s="71"/>
      <c r="D152" s="51"/>
      <c r="E152" s="52"/>
      <c r="F152" s="52"/>
      <c r="G152" s="9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</row>
    <row r="153" spans="1:128" s="75" customFormat="1" ht="30" hidden="1" customHeight="1" x14ac:dyDescent="0.25">
      <c r="A153" s="45"/>
      <c r="B153" s="71"/>
      <c r="D153" s="51"/>
      <c r="E153" s="88"/>
      <c r="F153" s="52"/>
      <c r="G153" s="9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</row>
    <row r="154" spans="1:128" s="75" customFormat="1" ht="18.75" hidden="1" customHeight="1" x14ac:dyDescent="0.25">
      <c r="A154" s="86">
        <v>44563</v>
      </c>
      <c r="B154" s="87"/>
      <c r="C154" s="85" t="s">
        <v>13</v>
      </c>
      <c r="D154" s="85" t="s">
        <v>22</v>
      </c>
      <c r="E154" s="178">
        <v>48662</v>
      </c>
      <c r="F154" s="178"/>
      <c r="G154" s="198">
        <f>G150+E154-F154</f>
        <v>71308985.128500164</v>
      </c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</row>
    <row r="155" spans="1:128" s="75" customFormat="1" ht="17.25" hidden="1" customHeight="1" x14ac:dyDescent="0.25">
      <c r="A155" s="86">
        <v>44563</v>
      </c>
      <c r="B155" s="87"/>
      <c r="C155" s="85" t="s">
        <v>13</v>
      </c>
      <c r="D155" s="85" t="s">
        <v>48</v>
      </c>
      <c r="E155" s="178">
        <v>284.98</v>
      </c>
      <c r="F155" s="178">
        <f>E155*0.025</f>
        <v>7.1245000000000012</v>
      </c>
      <c r="G155" s="198">
        <f t="shared" ref="G155:G186" si="3">G154+E155-F155</f>
        <v>71309262.984000161</v>
      </c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</row>
    <row r="156" spans="1:128" s="75" customFormat="1" ht="17.25" hidden="1" customHeight="1" x14ac:dyDescent="0.25">
      <c r="A156" s="86">
        <v>44563</v>
      </c>
      <c r="B156" s="87"/>
      <c r="C156" s="85" t="s">
        <v>13</v>
      </c>
      <c r="D156" s="85" t="s">
        <v>48</v>
      </c>
      <c r="E156" s="178">
        <v>704.64</v>
      </c>
      <c r="F156" s="178">
        <f>E156*0.025</f>
        <v>17.616</v>
      </c>
      <c r="G156" s="198">
        <f t="shared" si="3"/>
        <v>71309950.008000165</v>
      </c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</row>
    <row r="157" spans="1:128" s="75" customFormat="1" ht="17.25" hidden="1" customHeight="1" x14ac:dyDescent="0.25">
      <c r="A157" s="86">
        <v>44563</v>
      </c>
      <c r="B157" s="87"/>
      <c r="C157" s="85" t="s">
        <v>13</v>
      </c>
      <c r="D157" s="85" t="s">
        <v>48</v>
      </c>
      <c r="E157" s="178">
        <v>39280.800000000003</v>
      </c>
      <c r="F157" s="178">
        <f>E157*0.025</f>
        <v>982.0200000000001</v>
      </c>
      <c r="G157" s="198">
        <f t="shared" si="3"/>
        <v>71348248.788000166</v>
      </c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</row>
    <row r="158" spans="1:128" s="75" customFormat="1" ht="17.25" hidden="1" customHeight="1" x14ac:dyDescent="0.25">
      <c r="A158" s="86">
        <v>44563</v>
      </c>
      <c r="B158" s="87"/>
      <c r="C158" s="85" t="s">
        <v>13</v>
      </c>
      <c r="D158" s="85" t="s">
        <v>48</v>
      </c>
      <c r="E158" s="178">
        <v>464</v>
      </c>
      <c r="F158" s="178">
        <f>E158*0.025</f>
        <v>11.600000000000001</v>
      </c>
      <c r="G158" s="198">
        <f t="shared" si="3"/>
        <v>71348701.188000172</v>
      </c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</row>
    <row r="159" spans="1:128" s="75" customFormat="1" ht="31.5" hidden="1" customHeight="1" x14ac:dyDescent="0.25">
      <c r="A159" s="86">
        <v>44563</v>
      </c>
      <c r="B159" s="87" t="s">
        <v>537</v>
      </c>
      <c r="C159" s="85" t="s">
        <v>52</v>
      </c>
      <c r="D159" s="85" t="s">
        <v>538</v>
      </c>
      <c r="E159" s="178"/>
      <c r="F159" s="178">
        <v>1159505.28</v>
      </c>
      <c r="G159" s="198">
        <f t="shared" si="3"/>
        <v>70189195.908000171</v>
      </c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</row>
    <row r="160" spans="1:128" s="75" customFormat="1" ht="31.5" hidden="1" x14ac:dyDescent="0.25">
      <c r="A160" s="86">
        <v>44563</v>
      </c>
      <c r="B160" s="87" t="s">
        <v>539</v>
      </c>
      <c r="C160" s="85" t="s">
        <v>132</v>
      </c>
      <c r="D160" s="85" t="s">
        <v>540</v>
      </c>
      <c r="E160" s="178"/>
      <c r="F160" s="178">
        <v>1191455.58</v>
      </c>
      <c r="G160" s="198">
        <f t="shared" si="3"/>
        <v>68997740.328000173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</row>
    <row r="161" spans="1:128" s="75" customFormat="1" ht="31.5" hidden="1" customHeight="1" x14ac:dyDescent="0.25">
      <c r="A161" s="86">
        <v>44563</v>
      </c>
      <c r="B161" s="87" t="s">
        <v>549</v>
      </c>
      <c r="C161" s="85" t="s">
        <v>550</v>
      </c>
      <c r="D161" s="85" t="s">
        <v>551</v>
      </c>
      <c r="E161" s="178"/>
      <c r="F161" s="178">
        <v>286612.63</v>
      </c>
      <c r="G161" s="198">
        <f t="shared" si="3"/>
        <v>68711127.698000178</v>
      </c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</row>
    <row r="162" spans="1:128" s="75" customFormat="1" ht="31.5" hidden="1" customHeight="1" x14ac:dyDescent="0.25">
      <c r="A162" s="86">
        <v>44563</v>
      </c>
      <c r="B162" s="87" t="s">
        <v>541</v>
      </c>
      <c r="C162" s="85" t="s">
        <v>544</v>
      </c>
      <c r="D162" s="85" t="s">
        <v>542</v>
      </c>
      <c r="E162" s="178"/>
      <c r="F162" s="178">
        <v>784523.29</v>
      </c>
      <c r="G162" s="198">
        <f t="shared" si="3"/>
        <v>67926604.408000171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</row>
    <row r="163" spans="1:128" s="75" customFormat="1" ht="31.5" hidden="1" customHeight="1" x14ac:dyDescent="0.25">
      <c r="A163" s="86">
        <v>44563</v>
      </c>
      <c r="B163" s="87" t="s">
        <v>543</v>
      </c>
      <c r="C163" s="85" t="s">
        <v>545</v>
      </c>
      <c r="D163" s="85" t="s">
        <v>546</v>
      </c>
      <c r="E163" s="178"/>
      <c r="F163" s="178">
        <v>162887</v>
      </c>
      <c r="G163" s="198">
        <f t="shared" si="3"/>
        <v>67763717.408000171</v>
      </c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</row>
    <row r="164" spans="1:128" s="75" customFormat="1" ht="17.25" hidden="1" customHeight="1" x14ac:dyDescent="0.25">
      <c r="A164" s="86">
        <v>44563</v>
      </c>
      <c r="B164" s="87" t="s">
        <v>548</v>
      </c>
      <c r="C164" s="85" t="s">
        <v>57</v>
      </c>
      <c r="D164" s="85" t="s">
        <v>547</v>
      </c>
      <c r="E164" s="178"/>
      <c r="F164" s="178">
        <v>790480.98</v>
      </c>
      <c r="G164" s="199">
        <f t="shared" si="3"/>
        <v>66973236.428000174</v>
      </c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</row>
    <row r="165" spans="1:128" s="75" customFormat="1" ht="17.25" hidden="1" customHeight="1" x14ac:dyDescent="0.25">
      <c r="A165" s="86">
        <v>44594</v>
      </c>
      <c r="B165" s="87"/>
      <c r="C165" s="85" t="s">
        <v>13</v>
      </c>
      <c r="D165" s="85" t="s">
        <v>22</v>
      </c>
      <c r="E165" s="178">
        <v>36033</v>
      </c>
      <c r="F165" s="178"/>
      <c r="G165" s="198">
        <f t="shared" si="3"/>
        <v>67009269.428000174</v>
      </c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</row>
    <row r="166" spans="1:128" s="75" customFormat="1" ht="15" hidden="1" customHeight="1" x14ac:dyDescent="0.25">
      <c r="A166" s="86">
        <v>44594</v>
      </c>
      <c r="B166" s="87"/>
      <c r="C166" s="85" t="s">
        <v>13</v>
      </c>
      <c r="D166" s="85" t="s">
        <v>48</v>
      </c>
      <c r="E166" s="178">
        <v>927</v>
      </c>
      <c r="F166" s="178">
        <f>E166*0.025</f>
        <v>23.175000000000001</v>
      </c>
      <c r="G166" s="198">
        <f t="shared" si="3"/>
        <v>67010173.253000177</v>
      </c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</row>
    <row r="167" spans="1:128" s="75" customFormat="1" ht="15" hidden="1" customHeight="1" x14ac:dyDescent="0.25">
      <c r="A167" s="86">
        <v>44594</v>
      </c>
      <c r="B167" s="87"/>
      <c r="C167" s="85" t="s">
        <v>13</v>
      </c>
      <c r="D167" s="85" t="s">
        <v>48</v>
      </c>
      <c r="E167" s="178">
        <v>13967.04</v>
      </c>
      <c r="F167" s="178">
        <f>E167*0.025</f>
        <v>349.17600000000004</v>
      </c>
      <c r="G167" s="198">
        <f t="shared" si="3"/>
        <v>67023791.117000178</v>
      </c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</row>
    <row r="168" spans="1:128" s="75" customFormat="1" ht="15" hidden="1" customHeight="1" x14ac:dyDescent="0.25">
      <c r="A168" s="86">
        <v>44594</v>
      </c>
      <c r="B168" s="87"/>
      <c r="C168" s="85" t="s">
        <v>13</v>
      </c>
      <c r="D168" s="85" t="s">
        <v>48</v>
      </c>
      <c r="E168" s="178">
        <v>311</v>
      </c>
      <c r="F168" s="178">
        <f>E168*0.025</f>
        <v>7.7750000000000004</v>
      </c>
      <c r="G168" s="198">
        <f t="shared" si="3"/>
        <v>67024094.342000179</v>
      </c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</row>
    <row r="169" spans="1:128" s="75" customFormat="1" ht="15" hidden="1" customHeight="1" x14ac:dyDescent="0.25">
      <c r="A169" s="86">
        <v>44594</v>
      </c>
      <c r="B169" s="87"/>
      <c r="C169" s="85" t="s">
        <v>13</v>
      </c>
      <c r="D169" s="85" t="s">
        <v>48</v>
      </c>
      <c r="E169" s="178">
        <v>300</v>
      </c>
      <c r="F169" s="178">
        <f>E169*0.025</f>
        <v>7.5</v>
      </c>
      <c r="G169" s="199">
        <f t="shared" si="3"/>
        <v>67024386.842000179</v>
      </c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</row>
    <row r="170" spans="1:128" s="75" customFormat="1" ht="15" hidden="1" customHeight="1" x14ac:dyDescent="0.25">
      <c r="A170" s="86">
        <v>44622</v>
      </c>
      <c r="B170" s="87"/>
      <c r="C170" s="85" t="s">
        <v>13</v>
      </c>
      <c r="D170" s="85" t="s">
        <v>22</v>
      </c>
      <c r="E170" s="178">
        <f>52831</f>
        <v>52831</v>
      </c>
      <c r="F170" s="178"/>
      <c r="G170" s="198">
        <f t="shared" si="3"/>
        <v>67077217.842000179</v>
      </c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</row>
    <row r="171" spans="1:128" s="75" customFormat="1" ht="15" hidden="1" customHeight="1" x14ac:dyDescent="0.25">
      <c r="A171" s="86">
        <v>44622</v>
      </c>
      <c r="B171" s="87"/>
      <c r="C171" s="85" t="s">
        <v>13</v>
      </c>
      <c r="D171" s="85" t="s">
        <v>48</v>
      </c>
      <c r="E171" s="178">
        <f>1411.02</f>
        <v>1411.02</v>
      </c>
      <c r="F171" s="178">
        <f>E171*0.025</f>
        <v>35.275500000000001</v>
      </c>
      <c r="G171" s="198">
        <f t="shared" si="3"/>
        <v>67078593.586500183</v>
      </c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</row>
    <row r="172" spans="1:128" s="75" customFormat="1" ht="15" hidden="1" customHeight="1" x14ac:dyDescent="0.25">
      <c r="A172" s="86">
        <v>44622</v>
      </c>
      <c r="B172" s="87"/>
      <c r="C172" s="85" t="s">
        <v>13</v>
      </c>
      <c r="D172" s="85" t="s">
        <v>48</v>
      </c>
      <c r="E172" s="178">
        <v>600</v>
      </c>
      <c r="F172" s="178">
        <f>E172*0.025</f>
        <v>15</v>
      </c>
      <c r="G172" s="198">
        <f t="shared" si="3"/>
        <v>67079178.586500183</v>
      </c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</row>
    <row r="173" spans="1:128" s="75" customFormat="1" ht="47.25" hidden="1" customHeight="1" x14ac:dyDescent="0.25">
      <c r="A173" s="86">
        <v>44622</v>
      </c>
      <c r="B173" s="87" t="s">
        <v>561</v>
      </c>
      <c r="C173" s="85" t="s">
        <v>562</v>
      </c>
      <c r="D173" s="85" t="s">
        <v>563</v>
      </c>
      <c r="E173" s="178"/>
      <c r="F173" s="178">
        <f>184790.68</f>
        <v>184790.68</v>
      </c>
      <c r="G173" s="198">
        <f t="shared" si="3"/>
        <v>66894387.906500183</v>
      </c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</row>
    <row r="174" spans="1:128" s="75" customFormat="1" ht="31.5" hidden="1" customHeight="1" x14ac:dyDescent="0.25">
      <c r="A174" s="86">
        <v>44622</v>
      </c>
      <c r="B174" s="87" t="s">
        <v>564</v>
      </c>
      <c r="C174" s="85" t="s">
        <v>565</v>
      </c>
      <c r="D174" s="85" t="s">
        <v>566</v>
      </c>
      <c r="E174" s="178"/>
      <c r="F174" s="178">
        <v>207407.17</v>
      </c>
      <c r="G174" s="198">
        <f t="shared" si="3"/>
        <v>66686980.736500181</v>
      </c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</row>
    <row r="175" spans="1:128" s="75" customFormat="1" ht="47.25" hidden="1" customHeight="1" x14ac:dyDescent="0.25">
      <c r="A175" s="86">
        <v>44622</v>
      </c>
      <c r="B175" s="87" t="s">
        <v>567</v>
      </c>
      <c r="C175" s="85" t="s">
        <v>568</v>
      </c>
      <c r="D175" s="85" t="s">
        <v>569</v>
      </c>
      <c r="E175" s="178"/>
      <c r="F175" s="178">
        <v>517916.65</v>
      </c>
      <c r="G175" s="198">
        <f t="shared" si="3"/>
        <v>66169064.086500183</v>
      </c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</row>
    <row r="176" spans="1:128" s="75" customFormat="1" ht="63" hidden="1" customHeight="1" x14ac:dyDescent="0.25">
      <c r="A176" s="86">
        <v>44622</v>
      </c>
      <c r="B176" s="87" t="s">
        <v>570</v>
      </c>
      <c r="C176" s="85" t="s">
        <v>287</v>
      </c>
      <c r="D176" s="85" t="s">
        <v>571</v>
      </c>
      <c r="E176" s="178"/>
      <c r="F176" s="178">
        <v>34432</v>
      </c>
      <c r="G176" s="198">
        <f t="shared" si="3"/>
        <v>66134632.086500183</v>
      </c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</row>
    <row r="177" spans="1:128" s="75" customFormat="1" ht="47.25" hidden="1" customHeight="1" x14ac:dyDescent="0.25">
      <c r="A177" s="86">
        <v>44622</v>
      </c>
      <c r="B177" s="87" t="s">
        <v>572</v>
      </c>
      <c r="C177" s="85" t="s">
        <v>573</v>
      </c>
      <c r="D177" s="85" t="s">
        <v>574</v>
      </c>
      <c r="E177" s="178"/>
      <c r="F177" s="178">
        <v>598735.37</v>
      </c>
      <c r="G177" s="199">
        <f t="shared" si="3"/>
        <v>65535896.716500185</v>
      </c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</row>
    <row r="178" spans="1:128" s="75" customFormat="1" ht="15.75" hidden="1" customHeight="1" x14ac:dyDescent="0.25">
      <c r="A178" s="86">
        <v>44653</v>
      </c>
      <c r="B178" s="87"/>
      <c r="C178" s="85" t="s">
        <v>13</v>
      </c>
      <c r="D178" s="85" t="s">
        <v>22</v>
      </c>
      <c r="E178" s="178">
        <f>35002</f>
        <v>35002</v>
      </c>
      <c r="F178" s="178"/>
      <c r="G178" s="198">
        <f t="shared" si="3"/>
        <v>65570898.716500185</v>
      </c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</row>
    <row r="179" spans="1:128" s="75" customFormat="1" ht="15.75" hidden="1" customHeight="1" x14ac:dyDescent="0.25">
      <c r="A179" s="86">
        <v>44653</v>
      </c>
      <c r="B179" s="87"/>
      <c r="C179" s="85" t="s">
        <v>13</v>
      </c>
      <c r="D179" s="85" t="s">
        <v>48</v>
      </c>
      <c r="E179" s="178">
        <f>557.64</f>
        <v>557.64</v>
      </c>
      <c r="F179" s="178">
        <f>E179*0.025</f>
        <v>13.941000000000001</v>
      </c>
      <c r="G179" s="198">
        <f t="shared" si="3"/>
        <v>65571442.415500186</v>
      </c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</row>
    <row r="180" spans="1:128" s="75" customFormat="1" ht="15.75" hidden="1" customHeight="1" x14ac:dyDescent="0.25">
      <c r="A180" s="86">
        <v>44653</v>
      </c>
      <c r="B180" s="87"/>
      <c r="C180" s="85" t="s">
        <v>13</v>
      </c>
      <c r="D180" s="85" t="s">
        <v>48</v>
      </c>
      <c r="E180" s="178">
        <f>1026.82</f>
        <v>1026.82</v>
      </c>
      <c r="F180" s="178">
        <f>E180*0.025</f>
        <v>25.670500000000001</v>
      </c>
      <c r="G180" s="198">
        <f t="shared" si="3"/>
        <v>65572443.565000184</v>
      </c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</row>
    <row r="181" spans="1:128" s="75" customFormat="1" ht="15.75" hidden="1" customHeight="1" x14ac:dyDescent="0.25">
      <c r="A181" s="86">
        <v>44653</v>
      </c>
      <c r="B181" s="87"/>
      <c r="C181" s="85" t="s">
        <v>13</v>
      </c>
      <c r="D181" s="85" t="s">
        <v>48</v>
      </c>
      <c r="E181" s="178">
        <v>1175.67</v>
      </c>
      <c r="F181" s="178">
        <f>E181*0.025</f>
        <v>29.391750000000002</v>
      </c>
      <c r="G181" s="198">
        <f t="shared" si="3"/>
        <v>65573589.843250185</v>
      </c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</row>
    <row r="182" spans="1:128" s="75" customFormat="1" ht="15.75" hidden="1" customHeight="1" x14ac:dyDescent="0.25">
      <c r="A182" s="86">
        <v>44653</v>
      </c>
      <c r="B182" s="87"/>
      <c r="C182" s="85" t="s">
        <v>13</v>
      </c>
      <c r="D182" s="85" t="s">
        <v>48</v>
      </c>
      <c r="E182" s="178">
        <v>5241</v>
      </c>
      <c r="F182" s="178">
        <f>E182*0.025</f>
        <v>131.02500000000001</v>
      </c>
      <c r="G182" s="198">
        <f t="shared" si="3"/>
        <v>65578699.818250187</v>
      </c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</row>
    <row r="183" spans="1:128" s="75" customFormat="1" ht="15.75" hidden="1" customHeight="1" x14ac:dyDescent="0.25">
      <c r="A183" s="86">
        <v>44653</v>
      </c>
      <c r="B183" s="87"/>
      <c r="C183" s="85" t="s">
        <v>13</v>
      </c>
      <c r="D183" s="85" t="s">
        <v>48</v>
      </c>
      <c r="E183" s="178">
        <v>700</v>
      </c>
      <c r="F183" s="178">
        <f>E183*0.025</f>
        <v>17.5</v>
      </c>
      <c r="G183" s="198">
        <f t="shared" si="3"/>
        <v>65579382.318250187</v>
      </c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</row>
    <row r="184" spans="1:128" s="75" customFormat="1" ht="15.75" hidden="1" customHeight="1" x14ac:dyDescent="0.25">
      <c r="A184" s="86">
        <v>44653</v>
      </c>
      <c r="B184" s="87"/>
      <c r="C184" s="85" t="s">
        <v>12</v>
      </c>
      <c r="D184" s="85" t="s">
        <v>534</v>
      </c>
      <c r="E184" s="178">
        <v>170728.99</v>
      </c>
      <c r="F184" s="178"/>
      <c r="G184" s="198">
        <f t="shared" si="3"/>
        <v>65750111.308250189</v>
      </c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</row>
    <row r="185" spans="1:128" s="75" customFormat="1" ht="15.75" hidden="1" customHeight="1" x14ac:dyDescent="0.25">
      <c r="A185" s="86">
        <v>44653</v>
      </c>
      <c r="B185" s="87"/>
      <c r="C185" s="85" t="s">
        <v>12</v>
      </c>
      <c r="D185" s="85" t="s">
        <v>592</v>
      </c>
      <c r="E185" s="178"/>
      <c r="F185" s="178">
        <v>170728.99</v>
      </c>
      <c r="G185" s="198">
        <f t="shared" si="3"/>
        <v>65579382.318250187</v>
      </c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</row>
    <row r="186" spans="1:128" s="75" customFormat="1" ht="15.75" hidden="1" customHeight="1" x14ac:dyDescent="0.25">
      <c r="A186" s="86">
        <v>44653</v>
      </c>
      <c r="B186" s="87"/>
      <c r="C186" s="85" t="s">
        <v>12</v>
      </c>
      <c r="D186" s="85" t="s">
        <v>589</v>
      </c>
      <c r="E186" s="178">
        <v>50000</v>
      </c>
      <c r="F186" s="178"/>
      <c r="G186" s="198">
        <f t="shared" si="3"/>
        <v>65629382.318250187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</row>
    <row r="187" spans="1:128" s="75" customFormat="1" ht="15.75" hidden="1" customHeight="1" x14ac:dyDescent="0.25">
      <c r="A187" s="86">
        <v>44653</v>
      </c>
      <c r="B187" s="87"/>
      <c r="C187" s="85" t="s">
        <v>12</v>
      </c>
      <c r="D187" s="85" t="s">
        <v>590</v>
      </c>
      <c r="E187" s="178">
        <v>40558.949999999997</v>
      </c>
      <c r="F187" s="178"/>
      <c r="G187" s="198">
        <f t="shared" ref="G187:G218" si="4">G186+E187-F187</f>
        <v>65669941.26825019</v>
      </c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</row>
    <row r="188" spans="1:128" s="75" customFormat="1" ht="15.75" hidden="1" customHeight="1" x14ac:dyDescent="0.25">
      <c r="A188" s="86">
        <v>44653</v>
      </c>
      <c r="B188" s="87"/>
      <c r="C188" s="85" t="s">
        <v>12</v>
      </c>
      <c r="D188" s="85" t="s">
        <v>592</v>
      </c>
      <c r="E188" s="178"/>
      <c r="F188" s="178">
        <v>40558.949999999997</v>
      </c>
      <c r="G188" s="199">
        <f t="shared" si="4"/>
        <v>65629382.318250187</v>
      </c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</row>
    <row r="189" spans="1:128" s="75" customFormat="1" ht="31.5" hidden="1" customHeight="1" x14ac:dyDescent="0.25">
      <c r="A189" s="86">
        <v>44744</v>
      </c>
      <c r="B189" s="87" t="s">
        <v>575</v>
      </c>
      <c r="C189" s="85" t="s">
        <v>576</v>
      </c>
      <c r="D189" s="85" t="s">
        <v>577</v>
      </c>
      <c r="E189" s="178"/>
      <c r="F189" s="178">
        <v>680288.29</v>
      </c>
      <c r="G189" s="198">
        <f t="shared" si="4"/>
        <v>64949094.028250188</v>
      </c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</row>
    <row r="190" spans="1:128" s="75" customFormat="1" ht="15.75" hidden="1" customHeight="1" x14ac:dyDescent="0.25">
      <c r="A190" s="86">
        <v>44744</v>
      </c>
      <c r="B190" s="87" t="s">
        <v>578</v>
      </c>
      <c r="C190" s="85" t="s">
        <v>579</v>
      </c>
      <c r="D190" s="85" t="s">
        <v>580</v>
      </c>
      <c r="E190" s="178"/>
      <c r="F190" s="178">
        <v>1506.84</v>
      </c>
      <c r="G190" s="198">
        <f t="shared" si="4"/>
        <v>64947587.188250184</v>
      </c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</row>
    <row r="191" spans="1:128" s="75" customFormat="1" ht="34.5" hidden="1" customHeight="1" x14ac:dyDescent="0.25">
      <c r="A191" s="86">
        <v>44744</v>
      </c>
      <c r="B191" s="87" t="s">
        <v>581</v>
      </c>
      <c r="C191" s="85" t="s">
        <v>100</v>
      </c>
      <c r="D191" s="85" t="s">
        <v>582</v>
      </c>
      <c r="E191" s="178"/>
      <c r="F191" s="178">
        <v>981313.5</v>
      </c>
      <c r="G191" s="198">
        <f t="shared" si="4"/>
        <v>63966273.688250184</v>
      </c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</row>
    <row r="192" spans="1:128" s="75" customFormat="1" ht="15.75" hidden="1" customHeight="1" x14ac:dyDescent="0.25">
      <c r="A192" s="86">
        <v>44744</v>
      </c>
      <c r="B192" s="87" t="s">
        <v>583</v>
      </c>
      <c r="C192" s="85" t="s">
        <v>584</v>
      </c>
      <c r="D192" s="85" t="s">
        <v>585</v>
      </c>
      <c r="E192" s="178"/>
      <c r="F192" s="178">
        <v>216000</v>
      </c>
      <c r="G192" s="198">
        <f t="shared" si="4"/>
        <v>63750273.688250184</v>
      </c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</row>
    <row r="193" spans="1:128" s="75" customFormat="1" ht="31.5" hidden="1" customHeight="1" x14ac:dyDescent="0.25">
      <c r="A193" s="86">
        <v>44744</v>
      </c>
      <c r="B193" s="87" t="s">
        <v>586</v>
      </c>
      <c r="C193" s="85" t="s">
        <v>587</v>
      </c>
      <c r="D193" s="85" t="s">
        <v>588</v>
      </c>
      <c r="E193" s="178"/>
      <c r="F193" s="178">
        <v>46000</v>
      </c>
      <c r="G193" s="198">
        <f t="shared" si="4"/>
        <v>63704273.688250184</v>
      </c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</row>
    <row r="194" spans="1:128" s="75" customFormat="1" ht="15.75" hidden="1" customHeight="1" x14ac:dyDescent="0.25">
      <c r="A194" s="86">
        <v>44744</v>
      </c>
      <c r="B194" s="87"/>
      <c r="C194" s="85" t="s">
        <v>13</v>
      </c>
      <c r="D194" s="85" t="s">
        <v>22</v>
      </c>
      <c r="E194" s="178">
        <f>34409</f>
        <v>34409</v>
      </c>
      <c r="F194" s="178"/>
      <c r="G194" s="198">
        <f t="shared" si="4"/>
        <v>63738682.688250184</v>
      </c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</row>
    <row r="195" spans="1:128" s="75" customFormat="1" ht="15.75" hidden="1" customHeight="1" x14ac:dyDescent="0.25">
      <c r="A195" s="86">
        <v>44744</v>
      </c>
      <c r="B195" s="87"/>
      <c r="C195" s="85" t="s">
        <v>13</v>
      </c>
      <c r="D195" s="85" t="s">
        <v>48</v>
      </c>
      <c r="E195" s="178">
        <v>5455.06</v>
      </c>
      <c r="F195" s="178">
        <f>E195*0.025</f>
        <v>136.37650000000002</v>
      </c>
      <c r="G195" s="198">
        <f t="shared" si="4"/>
        <v>63744001.371750183</v>
      </c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</row>
    <row r="196" spans="1:128" s="75" customFormat="1" ht="15.75" hidden="1" customHeight="1" x14ac:dyDescent="0.25">
      <c r="A196" s="86">
        <v>44744</v>
      </c>
      <c r="B196" s="87"/>
      <c r="C196" s="85" t="s">
        <v>12</v>
      </c>
      <c r="D196" s="85" t="s">
        <v>591</v>
      </c>
      <c r="E196" s="178">
        <v>334527.03999999998</v>
      </c>
      <c r="F196" s="178"/>
      <c r="G196" s="198">
        <f t="shared" si="4"/>
        <v>64078528.411750183</v>
      </c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</row>
    <row r="197" spans="1:128" s="75" customFormat="1" ht="31.5" hidden="1" customHeight="1" x14ac:dyDescent="0.25">
      <c r="A197" s="86">
        <v>44744</v>
      </c>
      <c r="B197" s="87" t="s">
        <v>444</v>
      </c>
      <c r="C197" s="85" t="s">
        <v>44</v>
      </c>
      <c r="D197" s="85" t="s">
        <v>593</v>
      </c>
      <c r="E197" s="162">
        <v>982895.5</v>
      </c>
      <c r="F197" s="178"/>
      <c r="G197" s="199">
        <f t="shared" si="4"/>
        <v>65061423.911750183</v>
      </c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</row>
    <row r="198" spans="1:128" s="75" customFormat="1" ht="15.75" hidden="1" customHeight="1" x14ac:dyDescent="0.25">
      <c r="A198" s="86">
        <v>44775</v>
      </c>
      <c r="B198" s="87"/>
      <c r="C198" s="85" t="s">
        <v>13</v>
      </c>
      <c r="D198" s="85" t="s">
        <v>22</v>
      </c>
      <c r="E198" s="162">
        <f>25760</f>
        <v>25760</v>
      </c>
      <c r="F198" s="178"/>
      <c r="G198" s="198">
        <f t="shared" si="4"/>
        <v>65087183.911750183</v>
      </c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</row>
    <row r="199" spans="1:128" s="75" customFormat="1" ht="15" hidden="1" customHeight="1" x14ac:dyDescent="0.25">
      <c r="A199" s="86">
        <v>44775</v>
      </c>
      <c r="B199" s="87"/>
      <c r="C199" s="85" t="s">
        <v>13</v>
      </c>
      <c r="D199" s="85" t="s">
        <v>48</v>
      </c>
      <c r="E199" s="162">
        <v>20646.09</v>
      </c>
      <c r="F199" s="178">
        <f>E199*0.025</f>
        <v>516.15224999999998</v>
      </c>
      <c r="G199" s="199">
        <f t="shared" si="4"/>
        <v>65107313.849500187</v>
      </c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</row>
    <row r="200" spans="1:128" s="75" customFormat="1" ht="15" hidden="1" customHeight="1" x14ac:dyDescent="0.25">
      <c r="A200" s="86">
        <v>44806</v>
      </c>
      <c r="B200" s="87"/>
      <c r="C200" s="85" t="s">
        <v>13</v>
      </c>
      <c r="D200" s="85" t="s">
        <v>22</v>
      </c>
      <c r="E200" s="162">
        <f>20541</f>
        <v>20541</v>
      </c>
      <c r="F200" s="178"/>
      <c r="G200" s="198">
        <f t="shared" si="4"/>
        <v>65127854.849500187</v>
      </c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</row>
    <row r="201" spans="1:128" s="75" customFormat="1" ht="15.75" hidden="1" customHeight="1" x14ac:dyDescent="0.25">
      <c r="A201" s="86">
        <v>44806</v>
      </c>
      <c r="B201" s="87"/>
      <c r="C201" s="85" t="s">
        <v>13</v>
      </c>
      <c r="D201" s="85" t="s">
        <v>48</v>
      </c>
      <c r="E201" s="162">
        <v>121</v>
      </c>
      <c r="F201" s="178">
        <f>E201*0.025</f>
        <v>3.0250000000000004</v>
      </c>
      <c r="G201" s="198">
        <f t="shared" si="4"/>
        <v>65127972.824500188</v>
      </c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</row>
    <row r="202" spans="1:128" s="75" customFormat="1" ht="15.75" hidden="1" customHeight="1" x14ac:dyDescent="0.25">
      <c r="A202" s="86">
        <v>44806</v>
      </c>
      <c r="B202" s="87"/>
      <c r="C202" s="85" t="s">
        <v>13</v>
      </c>
      <c r="D202" s="85" t="s">
        <v>48</v>
      </c>
      <c r="E202" s="162">
        <v>2095</v>
      </c>
      <c r="F202" s="178">
        <f>E202*0.025</f>
        <v>52.375</v>
      </c>
      <c r="G202" s="198">
        <f t="shared" si="4"/>
        <v>65130015.449500188</v>
      </c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</row>
    <row r="203" spans="1:128" s="75" customFormat="1" ht="15.75" hidden="1" customHeight="1" x14ac:dyDescent="0.25">
      <c r="A203" s="86">
        <v>44806</v>
      </c>
      <c r="B203" s="87"/>
      <c r="C203" s="85" t="s">
        <v>13</v>
      </c>
      <c r="D203" s="85" t="s">
        <v>48</v>
      </c>
      <c r="E203" s="162">
        <v>2450</v>
      </c>
      <c r="F203" s="178">
        <f>E203*0.025</f>
        <v>61.25</v>
      </c>
      <c r="G203" s="198">
        <f t="shared" si="4"/>
        <v>65132404.199500188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</row>
    <row r="204" spans="1:128" s="75" customFormat="1" ht="15.75" hidden="1" customHeight="1" x14ac:dyDescent="0.25">
      <c r="A204" s="86">
        <v>44806</v>
      </c>
      <c r="B204" s="87"/>
      <c r="C204" s="85" t="s">
        <v>13</v>
      </c>
      <c r="D204" s="85" t="s">
        <v>48</v>
      </c>
      <c r="E204" s="162">
        <v>900</v>
      </c>
      <c r="F204" s="178">
        <f>E204*0.025</f>
        <v>22.5</v>
      </c>
      <c r="G204" s="198">
        <f t="shared" si="4"/>
        <v>65133281.699500188</v>
      </c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</row>
    <row r="205" spans="1:128" s="75" customFormat="1" ht="15.75" hidden="1" customHeight="1" x14ac:dyDescent="0.25">
      <c r="A205" s="86">
        <v>44806</v>
      </c>
      <c r="B205" s="87"/>
      <c r="C205" s="85" t="s">
        <v>12</v>
      </c>
      <c r="D205" s="85" t="s">
        <v>607</v>
      </c>
      <c r="E205" s="162">
        <v>13554.71</v>
      </c>
      <c r="F205" s="178"/>
      <c r="G205" s="198">
        <f t="shared" si="4"/>
        <v>65146836.409500189</v>
      </c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</row>
    <row r="206" spans="1:128" s="75" customFormat="1" ht="15.75" hidden="1" customHeight="1" x14ac:dyDescent="0.25">
      <c r="A206" s="86">
        <v>44806</v>
      </c>
      <c r="B206" s="87"/>
      <c r="C206" s="85" t="s">
        <v>12</v>
      </c>
      <c r="D206" s="85" t="s">
        <v>607</v>
      </c>
      <c r="E206" s="162">
        <v>4838.8</v>
      </c>
      <c r="F206" s="178"/>
      <c r="G206" s="198">
        <f t="shared" si="4"/>
        <v>65151675.209500186</v>
      </c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</row>
    <row r="207" spans="1:128" s="75" customFormat="1" ht="31.5" hidden="1" customHeight="1" x14ac:dyDescent="0.25">
      <c r="A207" s="86">
        <v>44806</v>
      </c>
      <c r="B207" s="87" t="s">
        <v>594</v>
      </c>
      <c r="C207" s="85" t="s">
        <v>595</v>
      </c>
      <c r="D207" s="85" t="s">
        <v>596</v>
      </c>
      <c r="E207" s="162"/>
      <c r="F207" s="178">
        <v>118019.15</v>
      </c>
      <c r="G207" s="199">
        <f t="shared" si="4"/>
        <v>65033656.059500188</v>
      </c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</row>
    <row r="208" spans="1:128" s="75" customFormat="1" ht="15.75" hidden="1" customHeight="1" x14ac:dyDescent="0.25">
      <c r="A208" s="86">
        <v>44836</v>
      </c>
      <c r="B208" s="87"/>
      <c r="C208" s="85" t="s">
        <v>13</v>
      </c>
      <c r="D208" s="85" t="s">
        <v>22</v>
      </c>
      <c r="E208" s="162">
        <f>36682</f>
        <v>36682</v>
      </c>
      <c r="F208" s="178"/>
      <c r="G208" s="198">
        <f t="shared" si="4"/>
        <v>65070338.059500188</v>
      </c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</row>
    <row r="209" spans="1:128" s="75" customFormat="1" ht="15.75" hidden="1" customHeight="1" x14ac:dyDescent="0.25">
      <c r="A209" s="86">
        <v>44836</v>
      </c>
      <c r="B209" s="87"/>
      <c r="C209" s="85" t="s">
        <v>13</v>
      </c>
      <c r="D209" s="85" t="s">
        <v>48</v>
      </c>
      <c r="E209" s="162">
        <f>200</f>
        <v>200</v>
      </c>
      <c r="F209" s="178">
        <f>E209*0.025</f>
        <v>5</v>
      </c>
      <c r="G209" s="198">
        <f t="shared" si="4"/>
        <v>65070533.059500188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</row>
    <row r="210" spans="1:128" s="75" customFormat="1" ht="15.75" hidden="1" customHeight="1" x14ac:dyDescent="0.25">
      <c r="A210" s="86">
        <v>44836</v>
      </c>
      <c r="B210" s="87"/>
      <c r="C210" s="85" t="s">
        <v>13</v>
      </c>
      <c r="D210" s="85" t="s">
        <v>48</v>
      </c>
      <c r="E210" s="162">
        <v>321.8</v>
      </c>
      <c r="F210" s="178">
        <f>E210*0.025</f>
        <v>8.0449999999999999</v>
      </c>
      <c r="G210" s="198">
        <f t="shared" si="4"/>
        <v>65070846.814500183</v>
      </c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</row>
    <row r="211" spans="1:128" s="75" customFormat="1" ht="15.75" hidden="1" customHeight="1" x14ac:dyDescent="0.25">
      <c r="A211" s="86">
        <v>44836</v>
      </c>
      <c r="B211" s="87"/>
      <c r="C211" s="85" t="s">
        <v>13</v>
      </c>
      <c r="D211" s="85" t="s">
        <v>48</v>
      </c>
      <c r="E211" s="162">
        <v>121</v>
      </c>
      <c r="F211" s="178">
        <f>E211*0.025</f>
        <v>3.0250000000000004</v>
      </c>
      <c r="G211" s="198">
        <f t="shared" si="4"/>
        <v>65070964.789500184</v>
      </c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</row>
    <row r="212" spans="1:128" s="75" customFormat="1" ht="15.75" hidden="1" customHeight="1" x14ac:dyDescent="0.25">
      <c r="A212" s="86">
        <v>44836</v>
      </c>
      <c r="B212" s="87"/>
      <c r="C212" s="85" t="s">
        <v>13</v>
      </c>
      <c r="D212" s="85" t="s">
        <v>48</v>
      </c>
      <c r="E212" s="162">
        <v>800</v>
      </c>
      <c r="F212" s="178">
        <f>E212*0.025</f>
        <v>20</v>
      </c>
      <c r="G212" s="198">
        <f t="shared" si="4"/>
        <v>65071744.789500184</v>
      </c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</row>
    <row r="213" spans="1:128" s="75" customFormat="1" ht="47.25" hidden="1" customHeight="1" x14ac:dyDescent="0.25">
      <c r="A213" s="86">
        <v>44836</v>
      </c>
      <c r="B213" s="87" t="s">
        <v>597</v>
      </c>
      <c r="C213" s="85" t="s">
        <v>601</v>
      </c>
      <c r="D213" s="85" t="s">
        <v>602</v>
      </c>
      <c r="E213" s="162"/>
      <c r="F213" s="178">
        <v>4200</v>
      </c>
      <c r="G213" s="198">
        <f t="shared" si="4"/>
        <v>65067544.789500184</v>
      </c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</row>
    <row r="214" spans="1:128" s="75" customFormat="1" ht="26.25" hidden="1" customHeight="1" x14ac:dyDescent="0.25">
      <c r="A214" s="86">
        <v>44836</v>
      </c>
      <c r="B214" s="87" t="s">
        <v>598</v>
      </c>
      <c r="C214" s="85" t="s">
        <v>603</v>
      </c>
      <c r="D214" s="85" t="s">
        <v>604</v>
      </c>
      <c r="E214" s="162"/>
      <c r="F214" s="178">
        <v>181.44</v>
      </c>
      <c r="G214" s="198">
        <f t="shared" si="4"/>
        <v>65067363.349500187</v>
      </c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</row>
    <row r="215" spans="1:128" s="75" customFormat="1" ht="31.5" hidden="1" customHeight="1" x14ac:dyDescent="0.25">
      <c r="A215" s="86">
        <v>44836</v>
      </c>
      <c r="B215" s="87" t="s">
        <v>599</v>
      </c>
      <c r="C215" s="85" t="s">
        <v>81</v>
      </c>
      <c r="D215" s="85" t="s">
        <v>605</v>
      </c>
      <c r="E215" s="162"/>
      <c r="F215" s="178">
        <v>34275.46</v>
      </c>
      <c r="G215" s="198">
        <f t="shared" si="4"/>
        <v>65033087.889500186</v>
      </c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</row>
    <row r="216" spans="1:128" s="75" customFormat="1" ht="35.25" hidden="1" customHeight="1" x14ac:dyDescent="0.25">
      <c r="A216" s="86">
        <v>44836</v>
      </c>
      <c r="B216" s="87" t="s">
        <v>600</v>
      </c>
      <c r="C216" s="85" t="s">
        <v>47</v>
      </c>
      <c r="D216" s="85" t="s">
        <v>606</v>
      </c>
      <c r="E216" s="162"/>
      <c r="F216" s="178">
        <v>18000</v>
      </c>
      <c r="G216" s="199">
        <f t="shared" si="4"/>
        <v>65015087.889500186</v>
      </c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</row>
    <row r="217" spans="1:128" s="75" customFormat="1" ht="25.5" hidden="1" customHeight="1" x14ac:dyDescent="0.25">
      <c r="A217" s="86">
        <v>44867</v>
      </c>
      <c r="B217" s="87"/>
      <c r="C217" s="85" t="s">
        <v>13</v>
      </c>
      <c r="D217" s="85" t="s">
        <v>22</v>
      </c>
      <c r="E217" s="162">
        <v>56557</v>
      </c>
      <c r="F217" s="178"/>
      <c r="G217" s="198">
        <f t="shared" si="4"/>
        <v>65071644.889500186</v>
      </c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</row>
    <row r="218" spans="1:128" s="75" customFormat="1" ht="20.25" hidden="1" customHeight="1" x14ac:dyDescent="0.25">
      <c r="A218" s="86">
        <v>44867</v>
      </c>
      <c r="B218" s="87"/>
      <c r="C218" s="85" t="s">
        <v>13</v>
      </c>
      <c r="D218" s="85" t="s">
        <v>48</v>
      </c>
      <c r="E218" s="162">
        <v>600</v>
      </c>
      <c r="F218" s="178">
        <f>E218*0.025</f>
        <v>15</v>
      </c>
      <c r="G218" s="198">
        <f t="shared" si="4"/>
        <v>65072229.889500186</v>
      </c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</row>
    <row r="219" spans="1:128" s="75" customFormat="1" ht="15.75" hidden="1" x14ac:dyDescent="0.25">
      <c r="A219" s="86">
        <v>44867</v>
      </c>
      <c r="B219" s="87"/>
      <c r="C219" s="85" t="s">
        <v>13</v>
      </c>
      <c r="D219" s="85" t="s">
        <v>48</v>
      </c>
      <c r="E219" s="162">
        <v>9150</v>
      </c>
      <c r="F219" s="178">
        <f>E219*0.025</f>
        <v>228.75</v>
      </c>
      <c r="G219" s="198">
        <f t="shared" ref="G219:G250" si="5">G218+E219-F219</f>
        <v>65081151.139500186</v>
      </c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</row>
    <row r="220" spans="1:128" s="75" customFormat="1" ht="24" hidden="1" customHeight="1" x14ac:dyDescent="0.25">
      <c r="A220" s="86">
        <v>44867</v>
      </c>
      <c r="B220" s="87"/>
      <c r="C220" s="85" t="s">
        <v>13</v>
      </c>
      <c r="D220" s="85" t="s">
        <v>48</v>
      </c>
      <c r="E220" s="162">
        <v>12988.5</v>
      </c>
      <c r="F220" s="178">
        <f>E220*0.025</f>
        <v>324.71250000000003</v>
      </c>
      <c r="G220" s="199">
        <f t="shared" si="5"/>
        <v>65093814.927000187</v>
      </c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</row>
    <row r="221" spans="1:128" s="75" customFormat="1" ht="18.75" hidden="1" customHeight="1" x14ac:dyDescent="0.25">
      <c r="A221" s="86" t="s">
        <v>608</v>
      </c>
      <c r="B221" s="87"/>
      <c r="C221" s="85" t="s">
        <v>13</v>
      </c>
      <c r="D221" s="85" t="s">
        <v>22</v>
      </c>
      <c r="E221" s="162">
        <f>17814</f>
        <v>17814</v>
      </c>
      <c r="F221" s="178"/>
      <c r="G221" s="198">
        <f t="shared" si="5"/>
        <v>65111628.927000187</v>
      </c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</row>
    <row r="222" spans="1:128" s="75" customFormat="1" ht="18" hidden="1" customHeight="1" x14ac:dyDescent="0.25">
      <c r="A222" s="86" t="s">
        <v>608</v>
      </c>
      <c r="B222" s="87"/>
      <c r="C222" s="85" t="s">
        <v>13</v>
      </c>
      <c r="D222" s="85" t="s">
        <v>48</v>
      </c>
      <c r="E222" s="162">
        <v>640.4</v>
      </c>
      <c r="F222" s="178">
        <f>E222*0.025</f>
        <v>16.010000000000002</v>
      </c>
      <c r="G222" s="198">
        <f t="shared" si="5"/>
        <v>65112253.317000188</v>
      </c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</row>
    <row r="223" spans="1:128" s="75" customFormat="1" ht="15" hidden="1" customHeight="1" x14ac:dyDescent="0.25">
      <c r="A223" s="86" t="s">
        <v>608</v>
      </c>
      <c r="B223" s="87"/>
      <c r="C223" s="85" t="s">
        <v>13</v>
      </c>
      <c r="D223" s="85" t="s">
        <v>48</v>
      </c>
      <c r="E223" s="162">
        <v>1240</v>
      </c>
      <c r="F223" s="178">
        <f>E223*0.025</f>
        <v>31</v>
      </c>
      <c r="G223" s="198">
        <f t="shared" si="5"/>
        <v>65113462.317000188</v>
      </c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</row>
    <row r="224" spans="1:128" s="75" customFormat="1" ht="18" hidden="1" customHeight="1" x14ac:dyDescent="0.25">
      <c r="A224" s="86" t="s">
        <v>608</v>
      </c>
      <c r="B224" s="87"/>
      <c r="C224" s="85" t="s">
        <v>13</v>
      </c>
      <c r="D224" s="85" t="s">
        <v>48</v>
      </c>
      <c r="E224" s="162">
        <v>852.04</v>
      </c>
      <c r="F224" s="178">
        <f>E224*0.025</f>
        <v>21.301000000000002</v>
      </c>
      <c r="G224" s="198">
        <f t="shared" si="5"/>
        <v>65114293.056000188</v>
      </c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</row>
    <row r="225" spans="1:128" s="75" customFormat="1" ht="18" hidden="1" customHeight="1" x14ac:dyDescent="0.25">
      <c r="A225" s="86" t="s">
        <v>608</v>
      </c>
      <c r="B225" s="87"/>
      <c r="C225" s="85" t="s">
        <v>12</v>
      </c>
      <c r="D225" s="85" t="s">
        <v>590</v>
      </c>
      <c r="E225" s="162">
        <v>128651.61</v>
      </c>
      <c r="F225" s="178"/>
      <c r="G225" s="199">
        <f t="shared" si="5"/>
        <v>65242944.666000187</v>
      </c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</row>
    <row r="226" spans="1:128" s="75" customFormat="1" ht="18" hidden="1" customHeight="1" x14ac:dyDescent="0.25">
      <c r="A226" s="86" t="s">
        <v>609</v>
      </c>
      <c r="B226" s="87"/>
      <c r="C226" s="85" t="s">
        <v>13</v>
      </c>
      <c r="D226" s="85" t="s">
        <v>22</v>
      </c>
      <c r="E226" s="162">
        <f>55265</f>
        <v>55265</v>
      </c>
      <c r="F226" s="178"/>
      <c r="G226" s="198">
        <f t="shared" si="5"/>
        <v>65298209.666000187</v>
      </c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</row>
    <row r="227" spans="1:128" s="75" customFormat="1" ht="18" hidden="1" customHeight="1" x14ac:dyDescent="0.25">
      <c r="A227" s="86" t="s">
        <v>609</v>
      </c>
      <c r="B227" s="87"/>
      <c r="C227" s="85" t="s">
        <v>13</v>
      </c>
      <c r="D227" s="85" t="s">
        <v>48</v>
      </c>
      <c r="E227" s="162">
        <f>2152</f>
        <v>2152</v>
      </c>
      <c r="F227" s="178">
        <f>E227*0.025</f>
        <v>53.800000000000004</v>
      </c>
      <c r="G227" s="198">
        <f t="shared" si="5"/>
        <v>65300307.86600019</v>
      </c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</row>
    <row r="228" spans="1:128" s="75" customFormat="1" ht="18" hidden="1" customHeight="1" x14ac:dyDescent="0.25">
      <c r="A228" s="86" t="s">
        <v>609</v>
      </c>
      <c r="B228" s="87"/>
      <c r="C228" s="85" t="s">
        <v>13</v>
      </c>
      <c r="D228" s="85" t="s">
        <v>48</v>
      </c>
      <c r="E228" s="162">
        <v>700</v>
      </c>
      <c r="F228" s="178">
        <f>E228*0.025</f>
        <v>17.5</v>
      </c>
      <c r="G228" s="199">
        <f t="shared" si="5"/>
        <v>65300990.36600019</v>
      </c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</row>
    <row r="229" spans="1:128" s="75" customFormat="1" ht="16.5" hidden="1" customHeight="1" x14ac:dyDescent="0.25">
      <c r="A229" s="86" t="s">
        <v>610</v>
      </c>
      <c r="B229" s="87"/>
      <c r="C229" s="85" t="s">
        <v>13</v>
      </c>
      <c r="D229" s="85" t="s">
        <v>22</v>
      </c>
      <c r="E229" s="162">
        <f>35697</f>
        <v>35697</v>
      </c>
      <c r="F229" s="178"/>
      <c r="G229" s="198">
        <f t="shared" si="5"/>
        <v>65336687.36600019</v>
      </c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</row>
    <row r="230" spans="1:128" s="75" customFormat="1" ht="15.75" hidden="1" x14ac:dyDescent="0.25">
      <c r="A230" s="86" t="s">
        <v>610</v>
      </c>
      <c r="B230" s="87"/>
      <c r="C230" s="85" t="s">
        <v>13</v>
      </c>
      <c r="D230" s="85" t="s">
        <v>48</v>
      </c>
      <c r="E230" s="162">
        <f>3419</f>
        <v>3419</v>
      </c>
      <c r="F230" s="178">
        <f>E230*0.025</f>
        <v>85.475000000000009</v>
      </c>
      <c r="G230" s="198">
        <f t="shared" si="5"/>
        <v>65340020.891000189</v>
      </c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</row>
    <row r="231" spans="1:128" s="75" customFormat="1" ht="15.75" hidden="1" x14ac:dyDescent="0.25">
      <c r="A231" s="86" t="s">
        <v>610</v>
      </c>
      <c r="B231" s="87"/>
      <c r="C231" s="85" t="s">
        <v>12</v>
      </c>
      <c r="D231" s="85" t="s">
        <v>86</v>
      </c>
      <c r="E231" s="162">
        <f>87691.69</f>
        <v>87691.69</v>
      </c>
      <c r="F231" s="178"/>
      <c r="G231" s="199">
        <f t="shared" si="5"/>
        <v>65427712.581000187</v>
      </c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</row>
    <row r="232" spans="1:128" s="75" customFormat="1" ht="15.75" hidden="1" x14ac:dyDescent="0.25">
      <c r="A232" s="86" t="s">
        <v>611</v>
      </c>
      <c r="B232" s="87"/>
      <c r="C232" s="85" t="s">
        <v>13</v>
      </c>
      <c r="D232" s="85" t="s">
        <v>22</v>
      </c>
      <c r="E232" s="162">
        <v>29046</v>
      </c>
      <c r="F232" s="178"/>
      <c r="G232" s="198">
        <f t="shared" si="5"/>
        <v>65456758.581000187</v>
      </c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</row>
    <row r="233" spans="1:128" s="75" customFormat="1" ht="15.75" hidden="1" x14ac:dyDescent="0.25">
      <c r="A233" s="86" t="s">
        <v>611</v>
      </c>
      <c r="B233" s="87"/>
      <c r="C233" s="85" t="s">
        <v>13</v>
      </c>
      <c r="D233" s="85" t="s">
        <v>48</v>
      </c>
      <c r="E233" s="162">
        <f>5300</f>
        <v>5300</v>
      </c>
      <c r="F233" s="178">
        <f>E233*0.025</f>
        <v>132.5</v>
      </c>
      <c r="G233" s="199">
        <f t="shared" si="5"/>
        <v>65461926.081000187</v>
      </c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</row>
    <row r="234" spans="1:128" s="75" customFormat="1" ht="15.75" hidden="1" x14ac:dyDescent="0.25">
      <c r="A234" s="86" t="s">
        <v>612</v>
      </c>
      <c r="B234" s="87"/>
      <c r="C234" s="85" t="s">
        <v>13</v>
      </c>
      <c r="D234" s="85" t="s">
        <v>22</v>
      </c>
      <c r="E234" s="162">
        <f>67492</f>
        <v>67492</v>
      </c>
      <c r="F234" s="178"/>
      <c r="G234" s="198">
        <f t="shared" si="5"/>
        <v>65529418.081000187</v>
      </c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</row>
    <row r="235" spans="1:128" s="75" customFormat="1" ht="18" hidden="1" customHeight="1" x14ac:dyDescent="0.25">
      <c r="A235" s="86" t="s">
        <v>612</v>
      </c>
      <c r="B235" s="87"/>
      <c r="C235" s="85" t="s">
        <v>13</v>
      </c>
      <c r="D235" s="85" t="s">
        <v>48</v>
      </c>
      <c r="E235" s="162">
        <f>5576.9</f>
        <v>5576.9</v>
      </c>
      <c r="F235" s="178">
        <f>E235*0.025</f>
        <v>139.42249999999999</v>
      </c>
      <c r="G235" s="199">
        <f t="shared" si="5"/>
        <v>65534855.558500186</v>
      </c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</row>
    <row r="236" spans="1:128" s="75" customFormat="1" ht="18" hidden="1" customHeight="1" x14ac:dyDescent="0.25">
      <c r="A236" s="86" t="s">
        <v>613</v>
      </c>
      <c r="B236" s="87"/>
      <c r="C236" s="85" t="s">
        <v>13</v>
      </c>
      <c r="D236" s="85" t="s">
        <v>22</v>
      </c>
      <c r="E236" s="162">
        <v>23764</v>
      </c>
      <c r="F236" s="178"/>
      <c r="G236" s="198">
        <f t="shared" si="5"/>
        <v>65558619.558500186</v>
      </c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</row>
    <row r="237" spans="1:128" s="75" customFormat="1" ht="18" hidden="1" customHeight="1" x14ac:dyDescent="0.25">
      <c r="A237" s="86" t="s">
        <v>613</v>
      </c>
      <c r="B237" s="87"/>
      <c r="C237" s="85" t="s">
        <v>13</v>
      </c>
      <c r="D237" s="85" t="s">
        <v>48</v>
      </c>
      <c r="E237" s="162">
        <f>690</f>
        <v>690</v>
      </c>
      <c r="F237" s="178">
        <f>E237*0.025</f>
        <v>17.25</v>
      </c>
      <c r="G237" s="198">
        <f t="shared" si="5"/>
        <v>65559292.308500186</v>
      </c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</row>
    <row r="238" spans="1:128" s="75" customFormat="1" ht="18" hidden="1" customHeight="1" x14ac:dyDescent="0.25">
      <c r="A238" s="86" t="s">
        <v>613</v>
      </c>
      <c r="B238" s="87"/>
      <c r="C238" s="85" t="s">
        <v>13</v>
      </c>
      <c r="D238" s="85" t="s">
        <v>48</v>
      </c>
      <c r="E238" s="162">
        <v>200</v>
      </c>
      <c r="F238" s="178">
        <f>E238*0.025</f>
        <v>5</v>
      </c>
      <c r="G238" s="198">
        <f t="shared" si="5"/>
        <v>65559487.308500186</v>
      </c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</row>
    <row r="239" spans="1:128" s="75" customFormat="1" ht="18" hidden="1" customHeight="1" x14ac:dyDescent="0.25">
      <c r="A239" s="86" t="s">
        <v>613</v>
      </c>
      <c r="B239" s="87"/>
      <c r="C239" s="85" t="s">
        <v>13</v>
      </c>
      <c r="D239" s="85" t="s">
        <v>48</v>
      </c>
      <c r="E239" s="162">
        <v>401.81</v>
      </c>
      <c r="F239" s="178">
        <f>E239*0.025</f>
        <v>10.045250000000001</v>
      </c>
      <c r="G239" s="198">
        <f t="shared" si="5"/>
        <v>65559879.073250189</v>
      </c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</row>
    <row r="240" spans="1:128" s="75" customFormat="1" ht="18" hidden="1" customHeight="1" x14ac:dyDescent="0.25">
      <c r="A240" s="86" t="s">
        <v>613</v>
      </c>
      <c r="B240" s="87"/>
      <c r="C240" s="85" t="s">
        <v>13</v>
      </c>
      <c r="D240" s="85" t="s">
        <v>48</v>
      </c>
      <c r="E240" s="162">
        <v>2104.64</v>
      </c>
      <c r="F240" s="178">
        <f>E240*0.025</f>
        <v>52.616</v>
      </c>
      <c r="G240" s="199">
        <f t="shared" si="5"/>
        <v>65561931.097250193</v>
      </c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</row>
    <row r="241" spans="1:128" s="75" customFormat="1" ht="18" hidden="1" customHeight="1" x14ac:dyDescent="0.25">
      <c r="A241" s="86" t="s">
        <v>614</v>
      </c>
      <c r="B241" s="87"/>
      <c r="C241" s="85" t="s">
        <v>13</v>
      </c>
      <c r="D241" s="85" t="s">
        <v>22</v>
      </c>
      <c r="E241" s="162">
        <v>45086</v>
      </c>
      <c r="F241" s="178"/>
      <c r="G241" s="198">
        <f t="shared" si="5"/>
        <v>65607017.097250193</v>
      </c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</row>
    <row r="242" spans="1:128" s="75" customFormat="1" ht="18" hidden="1" customHeight="1" x14ac:dyDescent="0.25">
      <c r="A242" s="86" t="s">
        <v>614</v>
      </c>
      <c r="B242" s="87"/>
      <c r="C242" s="85" t="s">
        <v>13</v>
      </c>
      <c r="D242" s="85" t="s">
        <v>48</v>
      </c>
      <c r="E242" s="162">
        <v>552.48</v>
      </c>
      <c r="F242" s="178">
        <f>E242*0.025</f>
        <v>13.812000000000001</v>
      </c>
      <c r="G242" s="198">
        <f t="shared" si="5"/>
        <v>65607555.765250191</v>
      </c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</row>
    <row r="243" spans="1:128" s="75" customFormat="1" ht="18" hidden="1" customHeight="1" x14ac:dyDescent="0.25">
      <c r="A243" s="86" t="s">
        <v>614</v>
      </c>
      <c r="B243" s="87"/>
      <c r="C243" s="85" t="s">
        <v>12</v>
      </c>
      <c r="D243" s="85" t="s">
        <v>615</v>
      </c>
      <c r="E243" s="162">
        <v>2854272.97</v>
      </c>
      <c r="F243" s="178"/>
      <c r="G243" s="198">
        <f t="shared" si="5"/>
        <v>68461828.73525019</v>
      </c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</row>
    <row r="244" spans="1:128" s="75" customFormat="1" ht="18" hidden="1" customHeight="1" x14ac:dyDescent="0.25">
      <c r="A244" s="86" t="s">
        <v>614</v>
      </c>
      <c r="B244" s="87"/>
      <c r="C244" s="85" t="s">
        <v>12</v>
      </c>
      <c r="D244" s="85" t="s">
        <v>615</v>
      </c>
      <c r="E244" s="162">
        <v>297189.55</v>
      </c>
      <c r="F244" s="178"/>
      <c r="G244" s="198">
        <f t="shared" si="5"/>
        <v>68759018.285250187</v>
      </c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</row>
    <row r="245" spans="1:128" s="75" customFormat="1" ht="18" hidden="1" customHeight="1" x14ac:dyDescent="0.25">
      <c r="A245" s="86" t="s">
        <v>614</v>
      </c>
      <c r="B245" s="87"/>
      <c r="C245" s="85" t="s">
        <v>12</v>
      </c>
      <c r="D245" s="85" t="s">
        <v>616</v>
      </c>
      <c r="E245" s="162">
        <v>1405029.72</v>
      </c>
      <c r="F245" s="178"/>
      <c r="G245" s="198">
        <f t="shared" si="5"/>
        <v>70164048.005250186</v>
      </c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</row>
    <row r="246" spans="1:128" s="75" customFormat="1" ht="18" hidden="1" customHeight="1" x14ac:dyDescent="0.25">
      <c r="A246" s="86" t="s">
        <v>614</v>
      </c>
      <c r="B246" s="87"/>
      <c r="C246" s="85" t="s">
        <v>12</v>
      </c>
      <c r="D246" s="85" t="s">
        <v>617</v>
      </c>
      <c r="E246" s="162">
        <v>621655.30000000005</v>
      </c>
      <c r="F246" s="178"/>
      <c r="G246" s="198">
        <f t="shared" si="5"/>
        <v>70785703.305250183</v>
      </c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</row>
    <row r="247" spans="1:128" s="75" customFormat="1" ht="18" hidden="1" customHeight="1" x14ac:dyDescent="0.25">
      <c r="A247" s="86" t="s">
        <v>614</v>
      </c>
      <c r="B247" s="87"/>
      <c r="C247" s="85" t="s">
        <v>12</v>
      </c>
      <c r="D247" s="85" t="s">
        <v>618</v>
      </c>
      <c r="E247" s="162">
        <v>460876.64</v>
      </c>
      <c r="F247" s="178"/>
      <c r="G247" s="198">
        <f t="shared" si="5"/>
        <v>71246579.945250183</v>
      </c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</row>
    <row r="248" spans="1:128" s="75" customFormat="1" ht="18" hidden="1" customHeight="1" x14ac:dyDescent="0.25">
      <c r="A248" s="86" t="s">
        <v>614</v>
      </c>
      <c r="B248" s="87"/>
      <c r="C248" s="85" t="s">
        <v>12</v>
      </c>
      <c r="D248" s="85" t="s">
        <v>616</v>
      </c>
      <c r="E248" s="162">
        <v>117318.5</v>
      </c>
      <c r="F248" s="178"/>
      <c r="G248" s="198">
        <f t="shared" si="5"/>
        <v>71363898.445250183</v>
      </c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</row>
    <row r="249" spans="1:128" s="75" customFormat="1" ht="18" hidden="1" customHeight="1" x14ac:dyDescent="0.25">
      <c r="A249" s="86" t="s">
        <v>614</v>
      </c>
      <c r="B249" s="87"/>
      <c r="C249" s="85" t="s">
        <v>12</v>
      </c>
      <c r="D249" s="85" t="s">
        <v>616</v>
      </c>
      <c r="E249" s="162">
        <v>78635.38</v>
      </c>
      <c r="F249" s="178"/>
      <c r="G249" s="198">
        <f t="shared" si="5"/>
        <v>71442533.825250179</v>
      </c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</row>
    <row r="250" spans="1:128" s="75" customFormat="1" ht="18" hidden="1" customHeight="1" x14ac:dyDescent="0.25">
      <c r="A250" s="86" t="s">
        <v>614</v>
      </c>
      <c r="B250" s="87"/>
      <c r="C250" s="85" t="s">
        <v>12</v>
      </c>
      <c r="D250" s="85" t="s">
        <v>617</v>
      </c>
      <c r="E250" s="162">
        <v>30800</v>
      </c>
      <c r="F250" s="178"/>
      <c r="G250" s="198">
        <f t="shared" si="5"/>
        <v>71473333.825250179</v>
      </c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</row>
    <row r="251" spans="1:128" s="75" customFormat="1" ht="18" hidden="1" customHeight="1" x14ac:dyDescent="0.25">
      <c r="A251" s="86" t="s">
        <v>614</v>
      </c>
      <c r="B251" s="87"/>
      <c r="C251" s="85" t="s">
        <v>12</v>
      </c>
      <c r="D251" s="85" t="s">
        <v>617</v>
      </c>
      <c r="E251" s="162">
        <v>23368.799999999999</v>
      </c>
      <c r="F251" s="178"/>
      <c r="G251" s="198">
        <f t="shared" ref="G251:G282" si="6">G250+E251-F251</f>
        <v>71496702.625250176</v>
      </c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</row>
    <row r="252" spans="1:128" s="75" customFormat="1" ht="18" hidden="1" customHeight="1" x14ac:dyDescent="0.25">
      <c r="A252" s="86" t="s">
        <v>614</v>
      </c>
      <c r="B252" s="87"/>
      <c r="C252" s="85" t="s">
        <v>12</v>
      </c>
      <c r="D252" s="85" t="s">
        <v>616</v>
      </c>
      <c r="E252" s="162">
        <v>7743.31</v>
      </c>
      <c r="F252" s="178"/>
      <c r="G252" s="198">
        <f t="shared" si="6"/>
        <v>71504445.935250178</v>
      </c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</row>
    <row r="253" spans="1:128" s="75" customFormat="1" ht="18" hidden="1" customHeight="1" x14ac:dyDescent="0.25">
      <c r="A253" s="86" t="s">
        <v>614</v>
      </c>
      <c r="B253" s="87"/>
      <c r="C253" s="85" t="s">
        <v>12</v>
      </c>
      <c r="D253" s="85" t="s">
        <v>616</v>
      </c>
      <c r="E253" s="162">
        <v>2892.25</v>
      </c>
      <c r="F253" s="178"/>
      <c r="G253" s="198">
        <f t="shared" si="6"/>
        <v>71507338.185250178</v>
      </c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</row>
    <row r="254" spans="1:128" s="75" customFormat="1" ht="18" hidden="1" customHeight="1" x14ac:dyDescent="0.25">
      <c r="A254" s="86" t="s">
        <v>614</v>
      </c>
      <c r="B254" s="87" t="s">
        <v>619</v>
      </c>
      <c r="C254" s="85" t="s">
        <v>521</v>
      </c>
      <c r="D254" s="85" t="s">
        <v>620</v>
      </c>
      <c r="E254" s="162">
        <v>31558574.800000001</v>
      </c>
      <c r="F254" s="178"/>
      <c r="G254" s="198">
        <f t="shared" si="6"/>
        <v>103065912.98525017</v>
      </c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</row>
    <row r="255" spans="1:128" s="75" customFormat="1" ht="31.5" hidden="1" x14ac:dyDescent="0.25">
      <c r="A255" s="86" t="s">
        <v>614</v>
      </c>
      <c r="B255" s="87" t="s">
        <v>619</v>
      </c>
      <c r="C255" s="85" t="s">
        <v>32</v>
      </c>
      <c r="D255" s="85" t="s">
        <v>621</v>
      </c>
      <c r="E255" s="162"/>
      <c r="F255" s="178">
        <v>24290626.73</v>
      </c>
      <c r="G255" s="198">
        <f t="shared" si="6"/>
        <v>78775286.255250171</v>
      </c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</row>
    <row r="256" spans="1:128" s="75" customFormat="1" ht="31.5" hidden="1" x14ac:dyDescent="0.25">
      <c r="A256" s="86" t="s">
        <v>614</v>
      </c>
      <c r="B256" s="87" t="s">
        <v>619</v>
      </c>
      <c r="C256" s="85" t="s">
        <v>32</v>
      </c>
      <c r="D256" s="85" t="s">
        <v>622</v>
      </c>
      <c r="E256" s="162"/>
      <c r="F256" s="178">
        <v>3067291.7</v>
      </c>
      <c r="G256" s="198">
        <f t="shared" si="6"/>
        <v>75707994.555250168</v>
      </c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</row>
    <row r="257" spans="1:128" s="75" customFormat="1" ht="31.5" hidden="1" x14ac:dyDescent="0.25">
      <c r="A257" s="86" t="s">
        <v>614</v>
      </c>
      <c r="B257" s="87" t="s">
        <v>619</v>
      </c>
      <c r="C257" s="85" t="s">
        <v>32</v>
      </c>
      <c r="D257" s="85" t="s">
        <v>623</v>
      </c>
      <c r="E257" s="162"/>
      <c r="F257" s="178">
        <f>1939676.64+1942412.61</f>
        <v>3882089.25</v>
      </c>
      <c r="G257" s="198">
        <f t="shared" si="6"/>
        <v>71825905.305250168</v>
      </c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</row>
    <row r="258" spans="1:128" s="75" customFormat="1" ht="15.75" hidden="1" x14ac:dyDescent="0.25">
      <c r="A258" s="86" t="s">
        <v>614</v>
      </c>
      <c r="B258" s="87" t="s">
        <v>619</v>
      </c>
      <c r="C258" s="85" t="s">
        <v>32</v>
      </c>
      <c r="D258" s="85" t="s">
        <v>624</v>
      </c>
      <c r="E258" s="162"/>
      <c r="F258" s="178">
        <v>318567.12</v>
      </c>
      <c r="G258" s="198">
        <f t="shared" si="6"/>
        <v>71507338.185250163</v>
      </c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</row>
    <row r="259" spans="1:128" s="75" customFormat="1" ht="31.5" hidden="1" x14ac:dyDescent="0.25">
      <c r="A259" s="86" t="s">
        <v>614</v>
      </c>
      <c r="B259" s="87" t="s">
        <v>628</v>
      </c>
      <c r="C259" s="85" t="s">
        <v>32</v>
      </c>
      <c r="D259" s="85" t="s">
        <v>629</v>
      </c>
      <c r="E259" s="162"/>
      <c r="F259" s="178">
        <v>1884080</v>
      </c>
      <c r="G259" s="198">
        <f t="shared" si="6"/>
        <v>69623258.185250163</v>
      </c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</row>
    <row r="260" spans="1:128" s="75" customFormat="1" ht="15.75" hidden="1" x14ac:dyDescent="0.25">
      <c r="A260" s="86" t="s">
        <v>614</v>
      </c>
      <c r="B260" s="87" t="s">
        <v>630</v>
      </c>
      <c r="C260" s="85" t="s">
        <v>32</v>
      </c>
      <c r="D260" s="85" t="s">
        <v>631</v>
      </c>
      <c r="E260" s="162"/>
      <c r="F260" s="178">
        <v>414484.07</v>
      </c>
      <c r="G260" s="198">
        <f t="shared" si="6"/>
        <v>69208774.11525017</v>
      </c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</row>
    <row r="261" spans="1:128" s="75" customFormat="1" ht="15.75" hidden="1" x14ac:dyDescent="0.25">
      <c r="A261" s="86" t="s">
        <v>614</v>
      </c>
      <c r="B261" s="87" t="s">
        <v>625</v>
      </c>
      <c r="C261" s="85" t="s">
        <v>32</v>
      </c>
      <c r="D261" s="85" t="s">
        <v>620</v>
      </c>
      <c r="E261" s="162"/>
      <c r="F261" s="178">
        <v>8584822.2200000007</v>
      </c>
      <c r="G261" s="198">
        <f t="shared" si="6"/>
        <v>60623951.895250171</v>
      </c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</row>
    <row r="262" spans="1:128" s="75" customFormat="1" ht="15.75" hidden="1" x14ac:dyDescent="0.25">
      <c r="A262" s="86" t="s">
        <v>614</v>
      </c>
      <c r="B262" s="87" t="s">
        <v>632</v>
      </c>
      <c r="C262" s="85" t="s">
        <v>521</v>
      </c>
      <c r="D262" s="85" t="s">
        <v>633</v>
      </c>
      <c r="E262" s="162"/>
      <c r="F262" s="178">
        <v>65000</v>
      </c>
      <c r="G262" s="198">
        <f t="shared" si="6"/>
        <v>60558951.895250171</v>
      </c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</row>
    <row r="263" spans="1:128" s="75" customFormat="1" ht="18" hidden="1" customHeight="1" x14ac:dyDescent="0.25">
      <c r="A263" s="86" t="s">
        <v>614</v>
      </c>
      <c r="B263" s="87" t="s">
        <v>626</v>
      </c>
      <c r="C263" s="85" t="s">
        <v>32</v>
      </c>
      <c r="D263" s="85" t="s">
        <v>627</v>
      </c>
      <c r="E263" s="162"/>
      <c r="F263" s="178">
        <v>1211676.3700000001</v>
      </c>
      <c r="G263" s="199">
        <f t="shared" si="6"/>
        <v>59347275.525250174</v>
      </c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</row>
    <row r="264" spans="1:128" s="75" customFormat="1" ht="18" hidden="1" customHeight="1" x14ac:dyDescent="0.25">
      <c r="A264" s="86" t="s">
        <v>651</v>
      </c>
      <c r="B264" s="87"/>
      <c r="C264" s="85" t="s">
        <v>13</v>
      </c>
      <c r="D264" s="85" t="s">
        <v>22</v>
      </c>
      <c r="E264" s="162">
        <f>21319</f>
        <v>21319</v>
      </c>
      <c r="F264" s="178"/>
      <c r="G264" s="198">
        <f t="shared" si="6"/>
        <v>59368594.525250174</v>
      </c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</row>
    <row r="265" spans="1:128" s="75" customFormat="1" ht="18" hidden="1" customHeight="1" x14ac:dyDescent="0.25">
      <c r="A265" s="86" t="s">
        <v>651</v>
      </c>
      <c r="B265" s="87"/>
      <c r="C265" s="85" t="s">
        <v>13</v>
      </c>
      <c r="D265" s="85" t="s">
        <v>48</v>
      </c>
      <c r="E265" s="162">
        <v>434.98</v>
      </c>
      <c r="F265" s="178">
        <f>E265*0.025</f>
        <v>10.874500000000001</v>
      </c>
      <c r="G265" s="198">
        <f t="shared" si="6"/>
        <v>59369018.630750172</v>
      </c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</row>
    <row r="266" spans="1:128" s="75" customFormat="1" ht="18" hidden="1" customHeight="1" x14ac:dyDescent="0.25">
      <c r="A266" s="86" t="s">
        <v>651</v>
      </c>
      <c r="B266" s="87"/>
      <c r="C266" s="85" t="s">
        <v>13</v>
      </c>
      <c r="D266" s="85" t="s">
        <v>48</v>
      </c>
      <c r="E266" s="162">
        <v>234.81</v>
      </c>
      <c r="F266" s="178">
        <f>E266*0.025</f>
        <v>5.8702500000000004</v>
      </c>
      <c r="G266" s="198">
        <f t="shared" si="6"/>
        <v>59369247.570500173</v>
      </c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</row>
    <row r="267" spans="1:128" s="75" customFormat="1" ht="18" hidden="1" customHeight="1" x14ac:dyDescent="0.25">
      <c r="A267" s="86" t="s">
        <v>651</v>
      </c>
      <c r="B267" s="87"/>
      <c r="C267" s="85" t="s">
        <v>13</v>
      </c>
      <c r="D267" s="85" t="s">
        <v>48</v>
      </c>
      <c r="E267" s="162">
        <v>731.66</v>
      </c>
      <c r="F267" s="178">
        <f>E267*0.025</f>
        <v>18.291499999999999</v>
      </c>
      <c r="G267" s="198">
        <f t="shared" si="6"/>
        <v>59369960.939000167</v>
      </c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</row>
    <row r="268" spans="1:128" s="75" customFormat="1" ht="18" hidden="1" customHeight="1" x14ac:dyDescent="0.25">
      <c r="A268" s="86" t="s">
        <v>651</v>
      </c>
      <c r="B268" s="87"/>
      <c r="C268" s="85" t="s">
        <v>13</v>
      </c>
      <c r="D268" s="85" t="s">
        <v>48</v>
      </c>
      <c r="E268" s="162">
        <v>1300</v>
      </c>
      <c r="F268" s="178">
        <f>E268*0.025</f>
        <v>32.5</v>
      </c>
      <c r="G268" s="198">
        <f t="shared" si="6"/>
        <v>59371228.439000167</v>
      </c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</row>
    <row r="269" spans="1:128" s="75" customFormat="1" ht="18" hidden="1" customHeight="1" x14ac:dyDescent="0.25">
      <c r="A269" s="86" t="s">
        <v>651</v>
      </c>
      <c r="B269" s="87"/>
      <c r="C269" s="85" t="s">
        <v>13</v>
      </c>
      <c r="D269" s="85" t="s">
        <v>48</v>
      </c>
      <c r="E269" s="162">
        <v>100</v>
      </c>
      <c r="F269" s="178">
        <f>E269*0.025</f>
        <v>2.5</v>
      </c>
      <c r="G269" s="199">
        <f t="shared" si="6"/>
        <v>59371325.939000167</v>
      </c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</row>
    <row r="270" spans="1:128" s="75" customFormat="1" ht="17.25" hidden="1" customHeight="1" x14ac:dyDescent="0.25">
      <c r="A270" s="86" t="s">
        <v>652</v>
      </c>
      <c r="B270" s="87"/>
      <c r="C270" s="85" t="s">
        <v>13</v>
      </c>
      <c r="D270" s="85" t="s">
        <v>22</v>
      </c>
      <c r="E270" s="162">
        <v>46866</v>
      </c>
      <c r="F270" s="178"/>
      <c r="G270" s="198">
        <f t="shared" si="6"/>
        <v>59418191.939000167</v>
      </c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</row>
    <row r="271" spans="1:128" s="75" customFormat="1" ht="17.25" hidden="1" customHeight="1" x14ac:dyDescent="0.25">
      <c r="A271" s="86" t="s">
        <v>652</v>
      </c>
      <c r="B271" s="87"/>
      <c r="C271" s="85" t="s">
        <v>13</v>
      </c>
      <c r="D271" s="85" t="s">
        <v>48</v>
      </c>
      <c r="E271" s="162">
        <v>200</v>
      </c>
      <c r="F271" s="178">
        <f>E271*0.025</f>
        <v>5</v>
      </c>
      <c r="G271" s="198">
        <f t="shared" si="6"/>
        <v>59418386.939000167</v>
      </c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</row>
    <row r="272" spans="1:128" s="75" customFormat="1" ht="17.25" hidden="1" customHeight="1" x14ac:dyDescent="0.25">
      <c r="A272" s="86" t="s">
        <v>652</v>
      </c>
      <c r="B272" s="87"/>
      <c r="C272" s="85" t="s">
        <v>13</v>
      </c>
      <c r="D272" s="85" t="s">
        <v>48</v>
      </c>
      <c r="E272" s="162">
        <v>800</v>
      </c>
      <c r="F272" s="178">
        <f>E272*0.025</f>
        <v>20</v>
      </c>
      <c r="G272" s="198">
        <f t="shared" si="6"/>
        <v>59419166.939000167</v>
      </c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</row>
    <row r="273" spans="1:128" s="75" customFormat="1" ht="18" hidden="1" customHeight="1" x14ac:dyDescent="0.25">
      <c r="A273" s="86" t="s">
        <v>652</v>
      </c>
      <c r="B273" s="87"/>
      <c r="C273" s="85" t="s">
        <v>13</v>
      </c>
      <c r="D273" s="85" t="s">
        <v>48</v>
      </c>
      <c r="E273" s="162">
        <v>200</v>
      </c>
      <c r="F273" s="178">
        <f>E273*0.025</f>
        <v>5</v>
      </c>
      <c r="G273" s="199">
        <f t="shared" si="6"/>
        <v>59419361.939000167</v>
      </c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</row>
    <row r="274" spans="1:128" s="75" customFormat="1" ht="18" hidden="1" customHeight="1" x14ac:dyDescent="0.25">
      <c r="A274" s="86" t="s">
        <v>653</v>
      </c>
      <c r="B274" s="87"/>
      <c r="C274" s="85" t="s">
        <v>13</v>
      </c>
      <c r="D274" s="85" t="s">
        <v>22</v>
      </c>
      <c r="E274" s="162">
        <v>75014</v>
      </c>
      <c r="F274" s="178"/>
      <c r="G274" s="198">
        <f t="shared" si="6"/>
        <v>59494375.939000167</v>
      </c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</row>
    <row r="275" spans="1:128" s="75" customFormat="1" ht="19.5" hidden="1" customHeight="1" x14ac:dyDescent="0.25">
      <c r="A275" s="86" t="s">
        <v>653</v>
      </c>
      <c r="B275" s="87"/>
      <c r="C275" s="85" t="s">
        <v>13</v>
      </c>
      <c r="D275" s="85" t="s">
        <v>48</v>
      </c>
      <c r="E275" s="162">
        <v>161</v>
      </c>
      <c r="F275" s="178">
        <f t="shared" ref="F275:F281" si="7">E275*0.025</f>
        <v>4.0250000000000004</v>
      </c>
      <c r="G275" s="198">
        <f t="shared" si="6"/>
        <v>59494532.914000168</v>
      </c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</row>
    <row r="276" spans="1:128" s="75" customFormat="1" ht="18" hidden="1" customHeight="1" x14ac:dyDescent="0.25">
      <c r="A276" s="86" t="s">
        <v>653</v>
      </c>
      <c r="B276" s="87"/>
      <c r="C276" s="85" t="s">
        <v>13</v>
      </c>
      <c r="D276" s="85" t="s">
        <v>48</v>
      </c>
      <c r="E276" s="162">
        <v>929.48</v>
      </c>
      <c r="F276" s="178">
        <f t="shared" si="7"/>
        <v>23.237000000000002</v>
      </c>
      <c r="G276" s="198">
        <f t="shared" si="6"/>
        <v>59495439.157000162</v>
      </c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</row>
    <row r="277" spans="1:128" s="75" customFormat="1" ht="18" hidden="1" customHeight="1" x14ac:dyDescent="0.25">
      <c r="A277" s="86" t="s">
        <v>653</v>
      </c>
      <c r="B277" s="87"/>
      <c r="C277" s="85" t="s">
        <v>13</v>
      </c>
      <c r="D277" s="85" t="s">
        <v>48</v>
      </c>
      <c r="E277" s="162">
        <v>10000</v>
      </c>
      <c r="F277" s="178">
        <f t="shared" si="7"/>
        <v>250</v>
      </c>
      <c r="G277" s="198">
        <f t="shared" si="6"/>
        <v>59505189.157000162</v>
      </c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</row>
    <row r="278" spans="1:128" s="75" customFormat="1" ht="18" hidden="1" customHeight="1" x14ac:dyDescent="0.25">
      <c r="A278" s="86" t="s">
        <v>653</v>
      </c>
      <c r="B278" s="87"/>
      <c r="C278" s="85" t="s">
        <v>13</v>
      </c>
      <c r="D278" s="85" t="s">
        <v>48</v>
      </c>
      <c r="E278" s="162">
        <v>650</v>
      </c>
      <c r="F278" s="178">
        <f t="shared" si="7"/>
        <v>16.25</v>
      </c>
      <c r="G278" s="198">
        <f t="shared" si="6"/>
        <v>59505822.907000162</v>
      </c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</row>
    <row r="279" spans="1:128" s="75" customFormat="1" ht="18" hidden="1" customHeight="1" x14ac:dyDescent="0.25">
      <c r="A279" s="86" t="s">
        <v>653</v>
      </c>
      <c r="B279" s="87"/>
      <c r="C279" s="85" t="s">
        <v>13</v>
      </c>
      <c r="D279" s="85" t="s">
        <v>48</v>
      </c>
      <c r="E279" s="162">
        <v>7000</v>
      </c>
      <c r="F279" s="178">
        <f t="shared" si="7"/>
        <v>175</v>
      </c>
      <c r="G279" s="198">
        <f t="shared" si="6"/>
        <v>59512647.907000162</v>
      </c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</row>
    <row r="280" spans="1:128" s="75" customFormat="1" ht="18" hidden="1" customHeight="1" x14ac:dyDescent="0.25">
      <c r="A280" s="86" t="s">
        <v>653</v>
      </c>
      <c r="B280" s="87"/>
      <c r="C280" s="85" t="s">
        <v>13</v>
      </c>
      <c r="D280" s="85" t="s">
        <v>48</v>
      </c>
      <c r="E280" s="162">
        <v>18905.78</v>
      </c>
      <c r="F280" s="178">
        <f t="shared" si="7"/>
        <v>472.64449999999999</v>
      </c>
      <c r="G280" s="198">
        <f t="shared" si="6"/>
        <v>59531081.042500161</v>
      </c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</row>
    <row r="281" spans="1:128" s="75" customFormat="1" ht="18" hidden="1" customHeight="1" x14ac:dyDescent="0.25">
      <c r="A281" s="86" t="s">
        <v>653</v>
      </c>
      <c r="B281" s="87"/>
      <c r="C281" s="85" t="s">
        <v>13</v>
      </c>
      <c r="D281" s="85" t="s">
        <v>48</v>
      </c>
      <c r="E281" s="162">
        <v>30061.38</v>
      </c>
      <c r="F281" s="178">
        <f t="shared" si="7"/>
        <v>751.53450000000009</v>
      </c>
      <c r="G281" s="53">
        <f t="shared" si="6"/>
        <v>59560390.88800016</v>
      </c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</row>
    <row r="282" spans="1:128" s="75" customFormat="1" ht="31.5" hidden="1" x14ac:dyDescent="0.25">
      <c r="A282" s="86" t="s">
        <v>636</v>
      </c>
      <c r="B282" s="87" t="s">
        <v>634</v>
      </c>
      <c r="C282" s="85" t="s">
        <v>63</v>
      </c>
      <c r="D282" s="85" t="s">
        <v>635</v>
      </c>
      <c r="E282" s="162"/>
      <c r="F282" s="178">
        <v>1268579.24</v>
      </c>
      <c r="G282" s="198">
        <f t="shared" si="6"/>
        <v>58291811.648000158</v>
      </c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</row>
    <row r="283" spans="1:128" s="75" customFormat="1" ht="31.5" hidden="1" x14ac:dyDescent="0.25">
      <c r="A283" s="86" t="s">
        <v>636</v>
      </c>
      <c r="B283" s="87" t="s">
        <v>637</v>
      </c>
      <c r="C283" s="85" t="s">
        <v>433</v>
      </c>
      <c r="D283" s="85" t="s">
        <v>638</v>
      </c>
      <c r="E283" s="162"/>
      <c r="F283" s="178">
        <v>1175280</v>
      </c>
      <c r="G283" s="198">
        <f t="shared" ref="G283:G299" si="8">G282+E283-F283</f>
        <v>57116531.648000158</v>
      </c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</row>
    <row r="284" spans="1:128" s="75" customFormat="1" ht="31.5" hidden="1" x14ac:dyDescent="0.25">
      <c r="A284" s="86" t="s">
        <v>636</v>
      </c>
      <c r="B284" s="87" t="s">
        <v>639</v>
      </c>
      <c r="C284" s="85" t="s">
        <v>640</v>
      </c>
      <c r="D284" s="85" t="s">
        <v>641</v>
      </c>
      <c r="E284" s="162"/>
      <c r="F284" s="178">
        <v>979956.93</v>
      </c>
      <c r="G284" s="198">
        <f t="shared" si="8"/>
        <v>56136574.718000159</v>
      </c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DT284" s="41"/>
      <c r="DU284" s="41"/>
      <c r="DV284" s="41"/>
      <c r="DW284" s="41"/>
      <c r="DX284" s="41"/>
    </row>
    <row r="285" spans="1:128" s="75" customFormat="1" ht="31.5" hidden="1" x14ac:dyDescent="0.25">
      <c r="A285" s="86" t="s">
        <v>636</v>
      </c>
      <c r="B285" s="87" t="s">
        <v>642</v>
      </c>
      <c r="C285" s="85" t="s">
        <v>643</v>
      </c>
      <c r="D285" s="85" t="s">
        <v>644</v>
      </c>
      <c r="E285" s="162"/>
      <c r="F285" s="178">
        <v>1692900</v>
      </c>
      <c r="G285" s="198">
        <f t="shared" si="8"/>
        <v>54443674.718000159</v>
      </c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</row>
    <row r="286" spans="1:128" s="75" customFormat="1" ht="31.5" hidden="1" x14ac:dyDescent="0.25">
      <c r="A286" s="86" t="s">
        <v>636</v>
      </c>
      <c r="B286" s="87" t="s">
        <v>645</v>
      </c>
      <c r="C286" s="85" t="s">
        <v>99</v>
      </c>
      <c r="D286" s="85" t="s">
        <v>646</v>
      </c>
      <c r="E286" s="162"/>
      <c r="F286" s="178">
        <v>772195.95</v>
      </c>
      <c r="G286" s="198">
        <f t="shared" si="8"/>
        <v>53671478.768000156</v>
      </c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</row>
    <row r="287" spans="1:128" s="75" customFormat="1" ht="18.75" hidden="1" customHeight="1" x14ac:dyDescent="0.25">
      <c r="A287" s="86" t="s">
        <v>636</v>
      </c>
      <c r="B287" s="87" t="s">
        <v>647</v>
      </c>
      <c r="C287" s="85" t="s">
        <v>648</v>
      </c>
      <c r="D287" s="85" t="s">
        <v>649</v>
      </c>
      <c r="E287" s="162"/>
      <c r="F287" s="178">
        <v>112323.25</v>
      </c>
      <c r="G287" s="199">
        <f t="shared" si="8"/>
        <v>53559155.518000156</v>
      </c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</row>
    <row r="288" spans="1:128" s="75" customFormat="1" ht="18.75" hidden="1" customHeight="1" x14ac:dyDescent="0.25">
      <c r="A288" s="86" t="s">
        <v>654</v>
      </c>
      <c r="B288" s="87"/>
      <c r="C288" s="85" t="s">
        <v>13</v>
      </c>
      <c r="D288" s="85" t="s">
        <v>22</v>
      </c>
      <c r="E288" s="162">
        <v>28614</v>
      </c>
      <c r="F288" s="178"/>
      <c r="G288" s="198">
        <f t="shared" si="8"/>
        <v>53587769.518000156</v>
      </c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DT288" s="41"/>
      <c r="DU288" s="41"/>
      <c r="DV288" s="41"/>
      <c r="DW288" s="41"/>
      <c r="DX288" s="41"/>
    </row>
    <row r="289" spans="1:128" s="75" customFormat="1" ht="18.75" hidden="1" customHeight="1" x14ac:dyDescent="0.25">
      <c r="A289" s="86" t="s">
        <v>654</v>
      </c>
      <c r="B289" s="87"/>
      <c r="C289" s="85" t="s">
        <v>13</v>
      </c>
      <c r="D289" s="85" t="s">
        <v>48</v>
      </c>
      <c r="E289" s="162">
        <v>4330</v>
      </c>
      <c r="F289" s="178">
        <f>E289*0.025</f>
        <v>108.25</v>
      </c>
      <c r="G289" s="198">
        <f t="shared" si="8"/>
        <v>53591991.268000156</v>
      </c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</row>
    <row r="290" spans="1:128" s="75" customFormat="1" ht="18" hidden="1" customHeight="1" x14ac:dyDescent="0.25">
      <c r="A290" s="86" t="s">
        <v>654</v>
      </c>
      <c r="B290" s="87"/>
      <c r="C290" s="85" t="s">
        <v>13</v>
      </c>
      <c r="D290" s="85" t="s">
        <v>48</v>
      </c>
      <c r="E290" s="162">
        <v>3000</v>
      </c>
      <c r="F290" s="178">
        <f>E290*0.025</f>
        <v>75</v>
      </c>
      <c r="G290" s="198">
        <f t="shared" si="8"/>
        <v>53594916.268000156</v>
      </c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DT290" s="41"/>
      <c r="DU290" s="41"/>
      <c r="DV290" s="41"/>
      <c r="DW290" s="41"/>
      <c r="DX290" s="41"/>
    </row>
    <row r="291" spans="1:128" s="75" customFormat="1" ht="18" hidden="1" customHeight="1" x14ac:dyDescent="0.25">
      <c r="A291" s="86" t="s">
        <v>654</v>
      </c>
      <c r="B291" s="87"/>
      <c r="C291" s="85" t="s">
        <v>13</v>
      </c>
      <c r="D291" s="85" t="s">
        <v>48</v>
      </c>
      <c r="E291" s="162">
        <v>700</v>
      </c>
      <c r="F291" s="178">
        <f>E291*0.025</f>
        <v>17.5</v>
      </c>
      <c r="G291" s="198">
        <f t="shared" si="8"/>
        <v>53595598.768000156</v>
      </c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DT291" s="41"/>
      <c r="DU291" s="41"/>
      <c r="DV291" s="41"/>
      <c r="DW291" s="41"/>
      <c r="DX291" s="41"/>
    </row>
    <row r="292" spans="1:128" s="75" customFormat="1" ht="18" hidden="1" customHeight="1" x14ac:dyDescent="0.25">
      <c r="A292" s="86" t="s">
        <v>654</v>
      </c>
      <c r="B292" s="87"/>
      <c r="C292" s="85" t="s">
        <v>13</v>
      </c>
      <c r="D292" s="85" t="s">
        <v>48</v>
      </c>
      <c r="E292" s="162">
        <v>200</v>
      </c>
      <c r="F292" s="178">
        <f>E292*0.025</f>
        <v>5</v>
      </c>
      <c r="G292" s="198">
        <f t="shared" si="8"/>
        <v>53595793.768000156</v>
      </c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DT292" s="41"/>
      <c r="DU292" s="41"/>
      <c r="DV292" s="41"/>
      <c r="DW292" s="41"/>
      <c r="DX292" s="41"/>
    </row>
    <row r="293" spans="1:128" s="75" customFormat="1" ht="18" hidden="1" customHeight="1" x14ac:dyDescent="0.25">
      <c r="A293" s="86" t="s">
        <v>654</v>
      </c>
      <c r="B293" s="87"/>
      <c r="C293" s="85" t="s">
        <v>13</v>
      </c>
      <c r="D293" s="85" t="s">
        <v>48</v>
      </c>
      <c r="E293" s="162">
        <v>255.5</v>
      </c>
      <c r="F293" s="178">
        <f>E293*0.025</f>
        <v>6.3875000000000002</v>
      </c>
      <c r="G293" s="198">
        <f t="shared" si="8"/>
        <v>53596042.880500153</v>
      </c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/>
      <c r="DV293" s="41"/>
      <c r="DW293" s="41"/>
      <c r="DX293" s="41"/>
    </row>
    <row r="294" spans="1:128" s="75" customFormat="1" ht="18" hidden="1" customHeight="1" x14ac:dyDescent="0.25">
      <c r="A294" s="86" t="s">
        <v>654</v>
      </c>
      <c r="B294" s="87"/>
      <c r="C294" s="85" t="s">
        <v>12</v>
      </c>
      <c r="D294" s="85" t="s">
        <v>589</v>
      </c>
      <c r="E294" s="162">
        <v>51459939.119999997</v>
      </c>
      <c r="F294" s="178"/>
      <c r="G294" s="198">
        <f t="shared" si="8"/>
        <v>105055982.00050014</v>
      </c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DT294" s="41"/>
      <c r="DU294" s="41"/>
      <c r="DV294" s="41"/>
      <c r="DW294" s="41"/>
      <c r="DX294" s="41"/>
    </row>
    <row r="295" spans="1:128" s="75" customFormat="1" ht="18" hidden="1" customHeight="1" x14ac:dyDescent="0.25">
      <c r="A295" s="86" t="s">
        <v>654</v>
      </c>
      <c r="B295" s="87"/>
      <c r="C295" s="85" t="s">
        <v>12</v>
      </c>
      <c r="D295" s="85" t="s">
        <v>23</v>
      </c>
      <c r="E295" s="162">
        <v>2083966.27</v>
      </c>
      <c r="F295" s="178"/>
      <c r="G295" s="198">
        <f t="shared" si="8"/>
        <v>107139948.27050014</v>
      </c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</row>
    <row r="296" spans="1:128" s="75" customFormat="1" ht="18" hidden="1" customHeight="1" x14ac:dyDescent="0.25">
      <c r="A296" s="86" t="s">
        <v>654</v>
      </c>
      <c r="B296" s="87"/>
      <c r="C296" s="85" t="s">
        <v>12</v>
      </c>
      <c r="D296" s="85" t="s">
        <v>88</v>
      </c>
      <c r="E296" s="162">
        <v>574576.09</v>
      </c>
      <c r="F296" s="178"/>
      <c r="G296" s="198">
        <f t="shared" si="8"/>
        <v>107714524.36050014</v>
      </c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</row>
    <row r="297" spans="1:128" s="75" customFormat="1" ht="15.75" hidden="1" x14ac:dyDescent="0.25">
      <c r="A297" s="86" t="s">
        <v>654</v>
      </c>
      <c r="B297" s="87"/>
      <c r="C297" s="85" t="s">
        <v>12</v>
      </c>
      <c r="D297" s="85" t="s">
        <v>33</v>
      </c>
      <c r="E297" s="162">
        <v>340082.22</v>
      </c>
      <c r="F297" s="178"/>
      <c r="G297" s="198">
        <f t="shared" si="8"/>
        <v>108054606.58050014</v>
      </c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</row>
    <row r="298" spans="1:128" s="75" customFormat="1" ht="15.75" hidden="1" x14ac:dyDescent="0.25">
      <c r="A298" s="86" t="s">
        <v>654</v>
      </c>
      <c r="B298" s="87"/>
      <c r="C298" s="85" t="s">
        <v>12</v>
      </c>
      <c r="D298" s="85" t="s">
        <v>655</v>
      </c>
      <c r="E298" s="162">
        <v>50000</v>
      </c>
      <c r="F298" s="178"/>
      <c r="G298" s="198">
        <f t="shared" si="8"/>
        <v>108104606.58050014</v>
      </c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</row>
    <row r="299" spans="1:128" s="75" customFormat="1" ht="15.75" hidden="1" x14ac:dyDescent="0.25">
      <c r="A299" s="86" t="s">
        <v>654</v>
      </c>
      <c r="B299" s="87"/>
      <c r="C299" s="85" t="s">
        <v>12</v>
      </c>
      <c r="D299" s="85" t="s">
        <v>658</v>
      </c>
      <c r="E299" s="162">
        <v>840746.01</v>
      </c>
      <c r="F299" s="178"/>
      <c r="G299" s="199">
        <f t="shared" si="8"/>
        <v>108945352.59050015</v>
      </c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</row>
    <row r="300" spans="1:128" s="75" customFormat="1" ht="15.75" hidden="1" x14ac:dyDescent="0.25">
      <c r="A300" s="45"/>
      <c r="B300" s="71"/>
      <c r="C300" s="51"/>
      <c r="D300" s="51"/>
      <c r="E300" s="10"/>
      <c r="F300" s="52"/>
      <c r="G300" s="9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</row>
    <row r="301" spans="1:128" s="75" customFormat="1" hidden="1" thickBot="1" x14ac:dyDescent="0.3">
      <c r="A301" s="45"/>
      <c r="B301" s="71"/>
      <c r="D301" s="51"/>
      <c r="E301" s="61">
        <f>E232+E233</f>
        <v>34346</v>
      </c>
      <c r="F301" s="61">
        <f>F233</f>
        <v>132.5</v>
      </c>
      <c r="G301" s="9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</row>
    <row r="302" spans="1:128" s="75" customFormat="1" hidden="1" thickTop="1" x14ac:dyDescent="0.25">
      <c r="A302" s="45"/>
      <c r="B302" s="71"/>
      <c r="D302" s="51"/>
      <c r="E302" s="88"/>
      <c r="F302" s="88"/>
      <c r="G302" s="9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</row>
    <row r="303" spans="1:128" s="75" customFormat="1" ht="15.75" hidden="1" x14ac:dyDescent="0.25">
      <c r="A303" s="45"/>
      <c r="B303" s="71"/>
      <c r="D303" s="51"/>
      <c r="E303" s="88"/>
      <c r="F303" s="88"/>
      <c r="G303" s="9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</row>
    <row r="304" spans="1:128" s="75" customFormat="1" ht="15.75" hidden="1" x14ac:dyDescent="0.25">
      <c r="A304" s="45"/>
      <c r="B304" s="71"/>
      <c r="D304" s="51"/>
      <c r="E304" s="52"/>
      <c r="F304" s="52"/>
      <c r="G304" s="9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DT304" s="41"/>
      <c r="DU304" s="41"/>
      <c r="DV304" s="41"/>
      <c r="DW304" s="41"/>
      <c r="DX304" s="41"/>
    </row>
    <row r="305" spans="1:128" s="75" customFormat="1" ht="21.75" hidden="1" customHeight="1" x14ac:dyDescent="0.25">
      <c r="A305" s="86">
        <v>44564</v>
      </c>
      <c r="B305" s="87"/>
      <c r="C305" s="85" t="s">
        <v>13</v>
      </c>
      <c r="D305" s="85" t="s">
        <v>22</v>
      </c>
      <c r="E305" s="178">
        <f>30938</f>
        <v>30938</v>
      </c>
      <c r="F305" s="178"/>
      <c r="G305" s="198">
        <f>G299+E305-F305</f>
        <v>108976290.59050015</v>
      </c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/>
      <c r="DX305" s="41"/>
    </row>
    <row r="306" spans="1:128" s="75" customFormat="1" ht="21.75" hidden="1" customHeight="1" x14ac:dyDescent="0.25">
      <c r="A306" s="86">
        <v>44564</v>
      </c>
      <c r="B306" s="87"/>
      <c r="C306" s="85" t="s">
        <v>13</v>
      </c>
      <c r="D306" s="85" t="s">
        <v>48</v>
      </c>
      <c r="E306" s="178">
        <v>563.98</v>
      </c>
      <c r="F306" s="178">
        <f>E306*0.025</f>
        <v>14.099500000000001</v>
      </c>
      <c r="G306" s="198">
        <f>G305+E306-F306</f>
        <v>108976840.47100015</v>
      </c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DT306" s="41"/>
      <c r="DU306" s="41"/>
      <c r="DV306" s="41"/>
      <c r="DW306" s="41"/>
      <c r="DX306" s="41"/>
    </row>
    <row r="307" spans="1:128" s="75" customFormat="1" ht="21.75" hidden="1" customHeight="1" x14ac:dyDescent="0.25">
      <c r="A307" s="86">
        <v>44564</v>
      </c>
      <c r="B307" s="87"/>
      <c r="C307" s="85" t="s">
        <v>13</v>
      </c>
      <c r="D307" s="85" t="s">
        <v>48</v>
      </c>
      <c r="E307" s="178">
        <v>121</v>
      </c>
      <c r="F307" s="178">
        <f>E307*0.025</f>
        <v>3.0250000000000004</v>
      </c>
      <c r="G307" s="198">
        <f>G306+E307-F307</f>
        <v>108976958.44600014</v>
      </c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DT307" s="41"/>
      <c r="DU307" s="41"/>
      <c r="DV307" s="41"/>
      <c r="DW307" s="41"/>
      <c r="DX307" s="41"/>
    </row>
    <row r="308" spans="1:128" s="75" customFormat="1" ht="21.75" hidden="1" customHeight="1" x14ac:dyDescent="0.25">
      <c r="A308" s="86">
        <v>44564</v>
      </c>
      <c r="B308" s="87"/>
      <c r="C308" s="85" t="s">
        <v>13</v>
      </c>
      <c r="D308" s="85" t="s">
        <v>48</v>
      </c>
      <c r="E308" s="178">
        <v>300</v>
      </c>
      <c r="F308" s="178">
        <f>E308*0.025</f>
        <v>7.5</v>
      </c>
      <c r="G308" s="198">
        <f>G307+E308-F308</f>
        <v>108977250.94600014</v>
      </c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</row>
    <row r="309" spans="1:128" s="75" customFormat="1" ht="21.75" hidden="1" customHeight="1" x14ac:dyDescent="0.25">
      <c r="A309" s="86">
        <v>44564</v>
      </c>
      <c r="B309" s="87"/>
      <c r="C309" s="85" t="s">
        <v>13</v>
      </c>
      <c r="D309" s="85" t="s">
        <v>48</v>
      </c>
      <c r="E309" s="178">
        <v>200</v>
      </c>
      <c r="F309" s="178">
        <f>E309*0.025</f>
        <v>5</v>
      </c>
      <c r="G309" s="198">
        <f>G308+E309-F309</f>
        <v>108977445.94600014</v>
      </c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</row>
    <row r="310" spans="1:128" s="75" customFormat="1" ht="33.75" hidden="1" customHeight="1" x14ac:dyDescent="0.25">
      <c r="A310" s="86">
        <v>44564</v>
      </c>
      <c r="B310" s="207" t="s">
        <v>662</v>
      </c>
      <c r="C310" s="85" t="s">
        <v>663</v>
      </c>
      <c r="D310" s="85" t="s">
        <v>664</v>
      </c>
      <c r="E310" s="178"/>
      <c r="F310" s="178">
        <v>1509312.75</v>
      </c>
      <c r="G310" s="198">
        <f t="shared" ref="G310:G392" si="9">G309+E310-F310</f>
        <v>107468133.19600014</v>
      </c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DT310" s="41"/>
      <c r="DU310" s="41"/>
      <c r="DV310" s="41"/>
      <c r="DW310" s="41"/>
      <c r="DX310" s="41"/>
    </row>
    <row r="311" spans="1:128" s="75" customFormat="1" ht="15.75" hidden="1" x14ac:dyDescent="0.25">
      <c r="A311" s="86">
        <v>44564</v>
      </c>
      <c r="B311" s="207" t="s">
        <v>665</v>
      </c>
      <c r="C311" s="85" t="s">
        <v>666</v>
      </c>
      <c r="D311" s="85" t="s">
        <v>667</v>
      </c>
      <c r="E311" s="178"/>
      <c r="F311" s="178">
        <v>114356</v>
      </c>
      <c r="G311" s="198">
        <f t="shared" si="9"/>
        <v>107353777.19600014</v>
      </c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</row>
    <row r="312" spans="1:128" s="75" customFormat="1" ht="31.5" hidden="1" x14ac:dyDescent="0.25">
      <c r="A312" s="86">
        <v>44564</v>
      </c>
      <c r="B312" s="207" t="s">
        <v>668</v>
      </c>
      <c r="C312" s="85" t="s">
        <v>669</v>
      </c>
      <c r="D312" s="85" t="s">
        <v>670</v>
      </c>
      <c r="E312" s="178"/>
      <c r="F312" s="178">
        <v>603291.57999999996</v>
      </c>
      <c r="G312" s="198">
        <f t="shared" si="9"/>
        <v>106750485.61600015</v>
      </c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</row>
    <row r="313" spans="1:128" s="75" customFormat="1" ht="31.5" hidden="1" x14ac:dyDescent="0.25">
      <c r="A313" s="86">
        <v>44564</v>
      </c>
      <c r="B313" s="207" t="s">
        <v>671</v>
      </c>
      <c r="C313" s="85" t="s">
        <v>672</v>
      </c>
      <c r="D313" s="85" t="s">
        <v>673</v>
      </c>
      <c r="E313" s="178"/>
      <c r="F313" s="178">
        <v>1634000</v>
      </c>
      <c r="G313" s="198">
        <f t="shared" si="9"/>
        <v>105116485.61600015</v>
      </c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</row>
    <row r="314" spans="1:128" s="75" customFormat="1" ht="31.5" hidden="1" x14ac:dyDescent="0.25">
      <c r="A314" s="86">
        <v>44564</v>
      </c>
      <c r="B314" s="207" t="s">
        <v>674</v>
      </c>
      <c r="C314" s="85" t="s">
        <v>56</v>
      </c>
      <c r="D314" s="85" t="s">
        <v>675</v>
      </c>
      <c r="E314" s="178"/>
      <c r="F314" s="178">
        <v>685203.75</v>
      </c>
      <c r="G314" s="198">
        <f t="shared" si="9"/>
        <v>104431281.86600015</v>
      </c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</row>
    <row r="315" spans="1:128" s="75" customFormat="1" ht="31.5" hidden="1" x14ac:dyDescent="0.25">
      <c r="A315" s="86">
        <v>44564</v>
      </c>
      <c r="B315" s="207" t="s">
        <v>676</v>
      </c>
      <c r="C315" s="85" t="s">
        <v>677</v>
      </c>
      <c r="D315" s="85" t="s">
        <v>678</v>
      </c>
      <c r="E315" s="178"/>
      <c r="F315" s="178">
        <v>1877010</v>
      </c>
      <c r="G315" s="198">
        <f t="shared" si="9"/>
        <v>102554271.86600015</v>
      </c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</row>
    <row r="316" spans="1:128" s="75" customFormat="1" ht="31.5" hidden="1" x14ac:dyDescent="0.25">
      <c r="A316" s="86">
        <v>44564</v>
      </c>
      <c r="B316" s="207" t="s">
        <v>679</v>
      </c>
      <c r="C316" s="85" t="s">
        <v>550</v>
      </c>
      <c r="D316" s="85" t="s">
        <v>680</v>
      </c>
      <c r="E316" s="178"/>
      <c r="F316" s="178">
        <v>306075.75</v>
      </c>
      <c r="G316" s="198">
        <f t="shared" si="9"/>
        <v>102248196.11600015</v>
      </c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DT316" s="41"/>
      <c r="DU316" s="41"/>
      <c r="DV316" s="41"/>
      <c r="DW316" s="41"/>
      <c r="DX316" s="41"/>
    </row>
    <row r="317" spans="1:128" s="75" customFormat="1" ht="31.5" hidden="1" x14ac:dyDescent="0.25">
      <c r="A317" s="86">
        <v>44564</v>
      </c>
      <c r="B317" s="207" t="s">
        <v>681</v>
      </c>
      <c r="C317" s="85" t="s">
        <v>682</v>
      </c>
      <c r="D317" s="85" t="s">
        <v>683</v>
      </c>
      <c r="E317" s="178"/>
      <c r="F317" s="178">
        <v>686475</v>
      </c>
      <c r="G317" s="198">
        <f t="shared" si="9"/>
        <v>101561721.11600015</v>
      </c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</row>
    <row r="318" spans="1:128" s="75" customFormat="1" ht="15.75" hidden="1" x14ac:dyDescent="0.25">
      <c r="A318" s="86">
        <v>44564</v>
      </c>
      <c r="B318" s="207" t="s">
        <v>684</v>
      </c>
      <c r="C318" s="85" t="s">
        <v>685</v>
      </c>
      <c r="D318" s="85" t="s">
        <v>686</v>
      </c>
      <c r="E318" s="178"/>
      <c r="F318" s="178">
        <v>809548.2</v>
      </c>
      <c r="G318" s="198">
        <f t="shared" si="9"/>
        <v>100752172.91600014</v>
      </c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</row>
    <row r="319" spans="1:128" s="75" customFormat="1" ht="31.5" hidden="1" x14ac:dyDescent="0.25">
      <c r="A319" s="86">
        <v>44564</v>
      </c>
      <c r="B319" s="207" t="s">
        <v>687</v>
      </c>
      <c r="C319" s="85" t="s">
        <v>688</v>
      </c>
      <c r="D319" s="85" t="s">
        <v>689</v>
      </c>
      <c r="E319" s="178"/>
      <c r="F319" s="178">
        <v>1020572.5</v>
      </c>
      <c r="G319" s="198">
        <f t="shared" si="9"/>
        <v>99731600.416000143</v>
      </c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/>
      <c r="DX319" s="41"/>
    </row>
    <row r="320" spans="1:128" s="75" customFormat="1" ht="15.75" hidden="1" x14ac:dyDescent="0.25">
      <c r="A320" s="86">
        <v>44564</v>
      </c>
      <c r="B320" s="207" t="s">
        <v>690</v>
      </c>
      <c r="C320" s="85" t="s">
        <v>691</v>
      </c>
      <c r="D320" s="85" t="s">
        <v>692</v>
      </c>
      <c r="E320" s="178"/>
      <c r="F320" s="178">
        <v>196160.18</v>
      </c>
      <c r="G320" s="198">
        <f t="shared" si="9"/>
        <v>99535440.236000136</v>
      </c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</row>
    <row r="321" spans="1:128" s="75" customFormat="1" ht="31.5" hidden="1" x14ac:dyDescent="0.25">
      <c r="A321" s="86">
        <v>44564</v>
      </c>
      <c r="B321" s="207" t="s">
        <v>693</v>
      </c>
      <c r="C321" s="85" t="s">
        <v>694</v>
      </c>
      <c r="D321" s="85" t="s">
        <v>695</v>
      </c>
      <c r="E321" s="178"/>
      <c r="F321" s="178">
        <v>253572</v>
      </c>
      <c r="G321" s="198">
        <f t="shared" si="9"/>
        <v>99281868.236000136</v>
      </c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DT321" s="41"/>
      <c r="DU321" s="41"/>
      <c r="DV321" s="41"/>
      <c r="DW321" s="41"/>
      <c r="DX321" s="41"/>
    </row>
    <row r="322" spans="1:128" s="75" customFormat="1" ht="15.75" hidden="1" x14ac:dyDescent="0.25">
      <c r="A322" s="86">
        <v>44564</v>
      </c>
      <c r="B322" s="207" t="s">
        <v>696</v>
      </c>
      <c r="C322" s="85" t="s">
        <v>697</v>
      </c>
      <c r="D322" s="85" t="s">
        <v>698</v>
      </c>
      <c r="E322" s="178"/>
      <c r="F322" s="178">
        <v>124300</v>
      </c>
      <c r="G322" s="198">
        <f t="shared" si="9"/>
        <v>99157568.236000136</v>
      </c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</row>
    <row r="323" spans="1:128" s="75" customFormat="1" ht="15.75" hidden="1" x14ac:dyDescent="0.25">
      <c r="A323" s="86">
        <v>44564</v>
      </c>
      <c r="B323" s="207" t="s">
        <v>699</v>
      </c>
      <c r="C323" s="85" t="s">
        <v>700</v>
      </c>
      <c r="D323" s="85" t="s">
        <v>980</v>
      </c>
      <c r="E323" s="178"/>
      <c r="F323" s="178">
        <v>135778.75</v>
      </c>
      <c r="G323" s="198">
        <f t="shared" si="9"/>
        <v>99021789.486000136</v>
      </c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DT323" s="41"/>
      <c r="DU323" s="41"/>
      <c r="DV323" s="41"/>
      <c r="DW323" s="41"/>
      <c r="DX323" s="41"/>
    </row>
    <row r="324" spans="1:128" s="75" customFormat="1" ht="31.5" hidden="1" x14ac:dyDescent="0.25">
      <c r="A324" s="86">
        <v>44564</v>
      </c>
      <c r="B324" s="207" t="s">
        <v>702</v>
      </c>
      <c r="C324" s="85" t="s">
        <v>703</v>
      </c>
      <c r="D324" s="85" t="s">
        <v>979</v>
      </c>
      <c r="E324" s="178"/>
      <c r="F324" s="178">
        <v>871629.04</v>
      </c>
      <c r="G324" s="198">
        <f t="shared" si="9"/>
        <v>98150160.446000129</v>
      </c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DT324" s="41"/>
      <c r="DU324" s="41"/>
      <c r="DV324" s="41"/>
      <c r="DW324" s="41"/>
      <c r="DX324" s="41"/>
    </row>
    <row r="325" spans="1:128" s="75" customFormat="1" ht="31.5" hidden="1" x14ac:dyDescent="0.25">
      <c r="A325" s="86">
        <v>44564</v>
      </c>
      <c r="B325" s="207" t="s">
        <v>705</v>
      </c>
      <c r="C325" s="85" t="s">
        <v>706</v>
      </c>
      <c r="D325" s="85" t="s">
        <v>707</v>
      </c>
      <c r="E325" s="178"/>
      <c r="F325" s="178">
        <v>233.42</v>
      </c>
      <c r="G325" s="198">
        <f t="shared" si="9"/>
        <v>98149927.026000127</v>
      </c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</row>
    <row r="326" spans="1:128" s="75" customFormat="1" ht="31.5" hidden="1" x14ac:dyDescent="0.25">
      <c r="A326" s="86">
        <v>44564</v>
      </c>
      <c r="B326" s="207" t="s">
        <v>708</v>
      </c>
      <c r="C326" s="85" t="s">
        <v>709</v>
      </c>
      <c r="D326" s="85" t="s">
        <v>710</v>
      </c>
      <c r="E326" s="178"/>
      <c r="F326" s="178">
        <v>215083.31</v>
      </c>
      <c r="G326" s="198">
        <f t="shared" si="9"/>
        <v>97934843.716000125</v>
      </c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DT326" s="41"/>
      <c r="DU326" s="41"/>
      <c r="DV326" s="41"/>
      <c r="DW326" s="41"/>
      <c r="DX326" s="41"/>
    </row>
    <row r="327" spans="1:128" s="75" customFormat="1" ht="63" hidden="1" x14ac:dyDescent="0.25">
      <c r="A327" s="86">
        <v>44564</v>
      </c>
      <c r="B327" s="207" t="s">
        <v>711</v>
      </c>
      <c r="C327" s="85" t="s">
        <v>712</v>
      </c>
      <c r="D327" s="85" t="s">
        <v>713</v>
      </c>
      <c r="E327" s="178"/>
      <c r="F327" s="178">
        <v>966507.93</v>
      </c>
      <c r="G327" s="199">
        <f t="shared" si="9"/>
        <v>96968335.786000118</v>
      </c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</row>
    <row r="328" spans="1:128" s="75" customFormat="1" ht="21.75" hidden="1" customHeight="1" x14ac:dyDescent="0.25">
      <c r="A328" s="86">
        <v>44595</v>
      </c>
      <c r="B328" s="87"/>
      <c r="C328" s="76" t="s">
        <v>13</v>
      </c>
      <c r="D328" s="85" t="s">
        <v>22</v>
      </c>
      <c r="E328" s="178">
        <f>65456</f>
        <v>65456</v>
      </c>
      <c r="F328" s="178"/>
      <c r="G328" s="198">
        <f t="shared" si="9"/>
        <v>97033791.786000118</v>
      </c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DT328" s="41"/>
      <c r="DU328" s="41"/>
      <c r="DV328" s="41"/>
      <c r="DW328" s="41"/>
      <c r="DX328" s="41"/>
    </row>
    <row r="329" spans="1:128" s="75" customFormat="1" ht="21.75" hidden="1" customHeight="1" x14ac:dyDescent="0.25">
      <c r="A329" s="86">
        <v>44595</v>
      </c>
      <c r="B329" s="87"/>
      <c r="C329" s="76" t="s">
        <v>13</v>
      </c>
      <c r="D329" s="85" t="s">
        <v>48</v>
      </c>
      <c r="E329" s="178">
        <v>900</v>
      </c>
      <c r="F329" s="178">
        <f>E329*0.025</f>
        <v>22.5</v>
      </c>
      <c r="G329" s="198">
        <f t="shared" si="9"/>
        <v>97034669.286000118</v>
      </c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</row>
    <row r="330" spans="1:128" s="75" customFormat="1" ht="21.75" hidden="1" customHeight="1" x14ac:dyDescent="0.25">
      <c r="A330" s="86">
        <v>44595</v>
      </c>
      <c r="B330" s="87"/>
      <c r="C330" s="76" t="s">
        <v>13</v>
      </c>
      <c r="D330" s="85" t="s">
        <v>48</v>
      </c>
      <c r="E330" s="178">
        <v>635.48</v>
      </c>
      <c r="F330" s="178">
        <f>E330*0.025</f>
        <v>15.887</v>
      </c>
      <c r="G330" s="198">
        <f t="shared" si="9"/>
        <v>97035288.879000127</v>
      </c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DT330" s="41"/>
      <c r="DU330" s="41"/>
      <c r="DV330" s="41"/>
      <c r="DW330" s="41"/>
      <c r="DX330" s="41"/>
    </row>
    <row r="331" spans="1:128" s="75" customFormat="1" ht="21.75" hidden="1" customHeight="1" x14ac:dyDescent="0.25">
      <c r="A331" s="86">
        <v>44595</v>
      </c>
      <c r="B331" s="87"/>
      <c r="C331" s="76" t="s">
        <v>13</v>
      </c>
      <c r="D331" s="85" t="s">
        <v>48</v>
      </c>
      <c r="E331" s="178">
        <v>135.24</v>
      </c>
      <c r="F331" s="178">
        <f>E331*0.025</f>
        <v>3.3810000000000002</v>
      </c>
      <c r="G331" s="198">
        <f t="shared" si="9"/>
        <v>97035420.738000125</v>
      </c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</row>
    <row r="332" spans="1:128" s="75" customFormat="1" ht="21.75" hidden="1" customHeight="1" x14ac:dyDescent="0.25">
      <c r="A332" s="86">
        <v>44595</v>
      </c>
      <c r="B332" s="207" t="s">
        <v>714</v>
      </c>
      <c r="C332" s="76" t="s">
        <v>715</v>
      </c>
      <c r="D332" s="85" t="s">
        <v>716</v>
      </c>
      <c r="E332" s="178"/>
      <c r="F332" s="178">
        <v>762411</v>
      </c>
      <c r="G332" s="198">
        <f t="shared" si="9"/>
        <v>96273009.738000125</v>
      </c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</row>
    <row r="333" spans="1:128" s="75" customFormat="1" ht="39" hidden="1" customHeight="1" x14ac:dyDescent="0.25">
      <c r="A333" s="86">
        <v>44595</v>
      </c>
      <c r="B333" s="207" t="s">
        <v>717</v>
      </c>
      <c r="C333" s="76" t="s">
        <v>718</v>
      </c>
      <c r="D333" s="85" t="s">
        <v>719</v>
      </c>
      <c r="E333" s="178"/>
      <c r="F333" s="178">
        <v>171718.98</v>
      </c>
      <c r="G333" s="198">
        <f t="shared" si="9"/>
        <v>96101290.758000121</v>
      </c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</row>
    <row r="334" spans="1:128" s="75" customFormat="1" ht="39.75" hidden="1" customHeight="1" x14ac:dyDescent="0.25">
      <c r="A334" s="86">
        <v>44595</v>
      </c>
      <c r="B334" s="207" t="s">
        <v>720</v>
      </c>
      <c r="C334" s="76" t="s">
        <v>721</v>
      </c>
      <c r="D334" s="85" t="s">
        <v>722</v>
      </c>
      <c r="E334" s="178"/>
      <c r="F334" s="178">
        <v>102600</v>
      </c>
      <c r="G334" s="198">
        <f t="shared" si="9"/>
        <v>95998690.758000121</v>
      </c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</row>
    <row r="335" spans="1:128" s="75" customFormat="1" ht="31.5" hidden="1" x14ac:dyDescent="0.25">
      <c r="A335" s="86">
        <v>44595</v>
      </c>
      <c r="B335" s="207" t="s">
        <v>723</v>
      </c>
      <c r="C335" s="85" t="s">
        <v>724</v>
      </c>
      <c r="D335" s="85" t="s">
        <v>725</v>
      </c>
      <c r="E335" s="178"/>
      <c r="F335" s="178">
        <v>182812.4</v>
      </c>
      <c r="G335" s="198">
        <f t="shared" si="9"/>
        <v>95815878.358000115</v>
      </c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</row>
    <row r="336" spans="1:128" s="75" customFormat="1" ht="15.75" hidden="1" x14ac:dyDescent="0.25">
      <c r="A336" s="86">
        <v>44595</v>
      </c>
      <c r="B336" s="207" t="s">
        <v>726</v>
      </c>
      <c r="C336" s="76" t="s">
        <v>727</v>
      </c>
      <c r="D336" s="85" t="s">
        <v>728</v>
      </c>
      <c r="E336" s="178"/>
      <c r="F336" s="178">
        <v>453948</v>
      </c>
      <c r="G336" s="198">
        <f t="shared" si="9"/>
        <v>95361930.358000115</v>
      </c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  <c r="DU336" s="41"/>
      <c r="DV336" s="41"/>
      <c r="DW336" s="41"/>
      <c r="DX336" s="41"/>
    </row>
    <row r="337" spans="1:128" s="75" customFormat="1" ht="31.5" hidden="1" x14ac:dyDescent="0.25">
      <c r="A337" s="86">
        <v>44595</v>
      </c>
      <c r="B337" s="207" t="s">
        <v>729</v>
      </c>
      <c r="C337" s="76" t="s">
        <v>730</v>
      </c>
      <c r="D337" s="85" t="s">
        <v>731</v>
      </c>
      <c r="E337" s="178"/>
      <c r="F337" s="178">
        <v>528428.6</v>
      </c>
      <c r="G337" s="199">
        <f t="shared" si="9"/>
        <v>94833501.758000121</v>
      </c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</row>
    <row r="338" spans="1:128" s="75" customFormat="1" ht="21.75" hidden="1" customHeight="1" x14ac:dyDescent="0.25">
      <c r="A338" s="86">
        <v>44623</v>
      </c>
      <c r="B338" s="87"/>
      <c r="C338" s="76" t="s">
        <v>13</v>
      </c>
      <c r="D338" s="85" t="s">
        <v>22</v>
      </c>
      <c r="E338" s="178">
        <v>44441</v>
      </c>
      <c r="F338" s="178"/>
      <c r="G338" s="198">
        <f t="shared" si="9"/>
        <v>94877942.758000121</v>
      </c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</row>
    <row r="339" spans="1:128" s="75" customFormat="1" ht="21.75" hidden="1" customHeight="1" x14ac:dyDescent="0.25">
      <c r="A339" s="86">
        <v>44623</v>
      </c>
      <c r="B339" s="87"/>
      <c r="C339" s="76" t="s">
        <v>13</v>
      </c>
      <c r="D339" s="85" t="s">
        <v>48</v>
      </c>
      <c r="E339" s="178">
        <v>400</v>
      </c>
      <c r="F339" s="178">
        <f>E339*0.025</f>
        <v>10</v>
      </c>
      <c r="G339" s="198">
        <f t="shared" si="9"/>
        <v>94878332.758000121</v>
      </c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</row>
    <row r="340" spans="1:128" s="75" customFormat="1" ht="21.75" hidden="1" customHeight="1" x14ac:dyDescent="0.25">
      <c r="A340" s="86">
        <v>44623</v>
      </c>
      <c r="B340" s="87"/>
      <c r="C340" s="76" t="s">
        <v>13</v>
      </c>
      <c r="D340" s="85" t="s">
        <v>48</v>
      </c>
      <c r="E340" s="178">
        <v>300</v>
      </c>
      <c r="F340" s="178">
        <f>E340*0.025</f>
        <v>7.5</v>
      </c>
      <c r="G340" s="198">
        <f t="shared" si="9"/>
        <v>94878625.258000121</v>
      </c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</row>
    <row r="341" spans="1:128" s="75" customFormat="1" ht="21.75" hidden="1" customHeight="1" x14ac:dyDescent="0.25">
      <c r="A341" s="86">
        <v>44623</v>
      </c>
      <c r="B341" s="87"/>
      <c r="C341" s="76" t="s">
        <v>13</v>
      </c>
      <c r="D341" s="85" t="s">
        <v>48</v>
      </c>
      <c r="E341" s="178">
        <v>255</v>
      </c>
      <c r="F341" s="178">
        <f>E341*0.025</f>
        <v>6.375</v>
      </c>
      <c r="G341" s="198">
        <f t="shared" si="9"/>
        <v>94878873.883000121</v>
      </c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</row>
    <row r="342" spans="1:128" s="75" customFormat="1" ht="31.5" hidden="1" x14ac:dyDescent="0.25">
      <c r="A342" s="86">
        <v>44623</v>
      </c>
      <c r="B342" s="207" t="s">
        <v>732</v>
      </c>
      <c r="C342" s="85" t="s">
        <v>733</v>
      </c>
      <c r="D342" s="85" t="s">
        <v>734</v>
      </c>
      <c r="E342" s="178"/>
      <c r="F342" s="178">
        <v>372303.1</v>
      </c>
      <c r="G342" s="198">
        <f t="shared" si="9"/>
        <v>94506570.783000126</v>
      </c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</row>
    <row r="343" spans="1:128" s="75" customFormat="1" ht="31.5" hidden="1" x14ac:dyDescent="0.25">
      <c r="A343" s="86">
        <v>44623</v>
      </c>
      <c r="B343" s="207" t="s">
        <v>735</v>
      </c>
      <c r="C343" s="76" t="s">
        <v>736</v>
      </c>
      <c r="D343" s="85" t="s">
        <v>737</v>
      </c>
      <c r="E343" s="178"/>
      <c r="F343" s="178">
        <v>452628.22</v>
      </c>
      <c r="G343" s="198">
        <f t="shared" si="9"/>
        <v>94053942.563000128</v>
      </c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</row>
    <row r="344" spans="1:128" s="75" customFormat="1" ht="47.25" hidden="1" x14ac:dyDescent="0.25">
      <c r="A344" s="86">
        <v>44623</v>
      </c>
      <c r="B344" s="207" t="s">
        <v>738</v>
      </c>
      <c r="C344" s="76" t="s">
        <v>739</v>
      </c>
      <c r="D344" s="85" t="s">
        <v>740</v>
      </c>
      <c r="E344" s="178"/>
      <c r="F344" s="178">
        <v>1205414.2</v>
      </c>
      <c r="G344" s="198">
        <f t="shared" si="9"/>
        <v>92848528.363000125</v>
      </c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</row>
    <row r="345" spans="1:128" s="75" customFormat="1" ht="63" hidden="1" x14ac:dyDescent="0.25">
      <c r="A345" s="86">
        <v>44623</v>
      </c>
      <c r="B345" s="207" t="s">
        <v>741</v>
      </c>
      <c r="C345" s="76" t="s">
        <v>742</v>
      </c>
      <c r="D345" s="85" t="s">
        <v>743</v>
      </c>
      <c r="E345" s="178"/>
      <c r="F345" s="178">
        <v>1497600.49</v>
      </c>
      <c r="G345" s="198">
        <f t="shared" si="9"/>
        <v>91350927.87300013</v>
      </c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</row>
    <row r="346" spans="1:128" s="75" customFormat="1" ht="78.75" hidden="1" x14ac:dyDescent="0.25">
      <c r="A346" s="86">
        <v>44623</v>
      </c>
      <c r="B346" s="207" t="s">
        <v>744</v>
      </c>
      <c r="C346" s="76" t="s">
        <v>745</v>
      </c>
      <c r="D346" s="85" t="s">
        <v>746</v>
      </c>
      <c r="E346" s="178"/>
      <c r="F346" s="178">
        <v>619334.19999999995</v>
      </c>
      <c r="G346" s="199">
        <f t="shared" si="9"/>
        <v>90731593.673000127</v>
      </c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</row>
    <row r="347" spans="1:128" s="75" customFormat="1" ht="21.75" hidden="1" customHeight="1" x14ac:dyDescent="0.25">
      <c r="A347" s="86">
        <v>44654</v>
      </c>
      <c r="B347" s="87"/>
      <c r="C347" s="76" t="s">
        <v>13</v>
      </c>
      <c r="D347" s="85" t="s">
        <v>22</v>
      </c>
      <c r="E347" s="178">
        <f>29310</f>
        <v>29310</v>
      </c>
      <c r="F347" s="178"/>
      <c r="G347" s="198">
        <f t="shared" si="9"/>
        <v>90760903.673000127</v>
      </c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</row>
    <row r="348" spans="1:128" s="75" customFormat="1" ht="21.75" hidden="1" customHeight="1" x14ac:dyDescent="0.25">
      <c r="A348" s="86">
        <v>44654</v>
      </c>
      <c r="B348" s="87"/>
      <c r="C348" s="76" t="s">
        <v>13</v>
      </c>
      <c r="D348" s="85" t="s">
        <v>48</v>
      </c>
      <c r="E348" s="178">
        <v>121</v>
      </c>
      <c r="F348" s="178">
        <f>E348*0.025</f>
        <v>3.0250000000000004</v>
      </c>
      <c r="G348" s="198">
        <f t="shared" si="9"/>
        <v>90761021.648000121</v>
      </c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</row>
    <row r="349" spans="1:128" s="75" customFormat="1" ht="21.75" hidden="1" customHeight="1" x14ac:dyDescent="0.25">
      <c r="A349" s="86">
        <v>44654</v>
      </c>
      <c r="B349" s="87"/>
      <c r="C349" s="76" t="s">
        <v>13</v>
      </c>
      <c r="D349" s="85" t="s">
        <v>48</v>
      </c>
      <c r="E349" s="178">
        <v>121</v>
      </c>
      <c r="F349" s="178">
        <f t="shared" ref="F349:F354" si="10">E349*0.025</f>
        <v>3.0250000000000004</v>
      </c>
      <c r="G349" s="198">
        <f t="shared" si="9"/>
        <v>90761139.623000115</v>
      </c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</row>
    <row r="350" spans="1:128" s="75" customFormat="1" ht="21.75" hidden="1" customHeight="1" x14ac:dyDescent="0.25">
      <c r="A350" s="86">
        <v>44654</v>
      </c>
      <c r="B350" s="87"/>
      <c r="C350" s="76" t="s">
        <v>13</v>
      </c>
      <c r="D350" s="85" t="s">
        <v>48</v>
      </c>
      <c r="E350" s="178">
        <v>3368.98</v>
      </c>
      <c r="F350" s="178">
        <f t="shared" si="10"/>
        <v>84.224500000000006</v>
      </c>
      <c r="G350" s="198">
        <f t="shared" si="9"/>
        <v>90764424.378500119</v>
      </c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</row>
    <row r="351" spans="1:128" s="75" customFormat="1" ht="21.75" hidden="1" customHeight="1" x14ac:dyDescent="0.25">
      <c r="A351" s="86">
        <v>44654</v>
      </c>
      <c r="B351" s="87"/>
      <c r="C351" s="76" t="s">
        <v>13</v>
      </c>
      <c r="D351" s="85" t="s">
        <v>48</v>
      </c>
      <c r="E351" s="178">
        <v>100</v>
      </c>
      <c r="F351" s="178">
        <f t="shared" si="10"/>
        <v>2.5</v>
      </c>
      <c r="G351" s="198">
        <f t="shared" si="9"/>
        <v>90764521.878500119</v>
      </c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</row>
    <row r="352" spans="1:128" s="75" customFormat="1" ht="21.75" hidden="1" customHeight="1" x14ac:dyDescent="0.25">
      <c r="A352" s="86">
        <v>44654</v>
      </c>
      <c r="B352" s="87"/>
      <c r="C352" s="76" t="s">
        <v>13</v>
      </c>
      <c r="D352" s="85" t="s">
        <v>48</v>
      </c>
      <c r="E352" s="178">
        <v>100</v>
      </c>
      <c r="F352" s="178">
        <f t="shared" si="10"/>
        <v>2.5</v>
      </c>
      <c r="G352" s="198">
        <f t="shared" si="9"/>
        <v>90764619.378500119</v>
      </c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</row>
    <row r="353" spans="1:128" s="75" customFormat="1" ht="21.75" hidden="1" customHeight="1" x14ac:dyDescent="0.25">
      <c r="A353" s="86">
        <v>44654</v>
      </c>
      <c r="B353" s="87"/>
      <c r="C353" s="76" t="s">
        <v>13</v>
      </c>
      <c r="D353" s="85" t="s">
        <v>48</v>
      </c>
      <c r="E353" s="178">
        <v>5210.92</v>
      </c>
      <c r="F353" s="178">
        <f t="shared" si="10"/>
        <v>130.273</v>
      </c>
      <c r="G353" s="198">
        <f t="shared" si="9"/>
        <v>90769700.025500119</v>
      </c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</row>
    <row r="354" spans="1:128" s="75" customFormat="1" ht="21.75" hidden="1" customHeight="1" x14ac:dyDescent="0.25">
      <c r="A354" s="86">
        <v>44654</v>
      </c>
      <c r="B354" s="87"/>
      <c r="C354" s="76" t="s">
        <v>13</v>
      </c>
      <c r="D354" s="85" t="s">
        <v>48</v>
      </c>
      <c r="E354" s="178">
        <v>323.67</v>
      </c>
      <c r="F354" s="178">
        <f t="shared" si="10"/>
        <v>8.0917500000000011</v>
      </c>
      <c r="G354" s="198">
        <f t="shared" si="9"/>
        <v>90770015.603750125</v>
      </c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DT354" s="41"/>
      <c r="DU354" s="41"/>
      <c r="DV354" s="41"/>
      <c r="DW354" s="41"/>
      <c r="DX354" s="41"/>
    </row>
    <row r="355" spans="1:128" s="75" customFormat="1" ht="20.25" hidden="1" customHeight="1" x14ac:dyDescent="0.25">
      <c r="A355" s="86">
        <v>44654</v>
      </c>
      <c r="B355" s="87"/>
      <c r="C355" s="76" t="s">
        <v>12</v>
      </c>
      <c r="D355" s="85" t="s">
        <v>659</v>
      </c>
      <c r="E355" s="178">
        <v>840746.01</v>
      </c>
      <c r="F355" s="178"/>
      <c r="G355" s="198">
        <f t="shared" si="9"/>
        <v>91610761.61375013</v>
      </c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DT355" s="41"/>
      <c r="DU355" s="41"/>
      <c r="DV355" s="41"/>
      <c r="DW355" s="41"/>
      <c r="DX355" s="41"/>
    </row>
    <row r="356" spans="1:128" s="75" customFormat="1" ht="15.75" hidden="1" x14ac:dyDescent="0.25">
      <c r="A356" s="86">
        <v>44654</v>
      </c>
      <c r="B356" s="87"/>
      <c r="C356" s="76" t="s">
        <v>12</v>
      </c>
      <c r="D356" s="85" t="s">
        <v>862</v>
      </c>
      <c r="E356" s="178"/>
      <c r="F356" s="178">
        <v>840746.01</v>
      </c>
      <c r="G356" s="198">
        <f t="shared" si="9"/>
        <v>90770015.603750125</v>
      </c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DT356" s="41"/>
      <c r="DU356" s="41"/>
      <c r="DV356" s="41"/>
      <c r="DW356" s="41"/>
      <c r="DX356" s="41"/>
    </row>
    <row r="357" spans="1:128" s="75" customFormat="1" ht="20.25" hidden="1" customHeight="1" x14ac:dyDescent="0.25">
      <c r="A357" s="86">
        <v>44654</v>
      </c>
      <c r="B357" s="207" t="s">
        <v>747</v>
      </c>
      <c r="C357" s="76" t="s">
        <v>159</v>
      </c>
      <c r="D357" s="85" t="s">
        <v>748</v>
      </c>
      <c r="E357" s="178"/>
      <c r="F357" s="178">
        <v>80750</v>
      </c>
      <c r="G357" s="198">
        <f t="shared" si="9"/>
        <v>90689265.603750125</v>
      </c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</row>
    <row r="358" spans="1:128" s="75" customFormat="1" ht="20.25" hidden="1" customHeight="1" x14ac:dyDescent="0.25">
      <c r="A358" s="86">
        <v>44654</v>
      </c>
      <c r="B358" s="207" t="s">
        <v>749</v>
      </c>
      <c r="C358" s="76" t="s">
        <v>750</v>
      </c>
      <c r="D358" s="85" t="s">
        <v>751</v>
      </c>
      <c r="E358" s="178"/>
      <c r="F358" s="178">
        <v>54424.19</v>
      </c>
      <c r="G358" s="198">
        <f t="shared" si="9"/>
        <v>90634841.413750127</v>
      </c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DT358" s="41"/>
      <c r="DU358" s="41"/>
      <c r="DV358" s="41"/>
      <c r="DW358" s="41"/>
      <c r="DX358" s="41"/>
    </row>
    <row r="359" spans="1:128" s="75" customFormat="1" ht="20.25" hidden="1" customHeight="1" x14ac:dyDescent="0.25">
      <c r="A359" s="86">
        <v>44654</v>
      </c>
      <c r="B359" s="207" t="s">
        <v>752</v>
      </c>
      <c r="C359" s="76" t="s">
        <v>53</v>
      </c>
      <c r="D359" s="85" t="s">
        <v>753</v>
      </c>
      <c r="E359" s="178"/>
      <c r="F359" s="178">
        <v>191187.5</v>
      </c>
      <c r="G359" s="198">
        <f t="shared" si="9"/>
        <v>90443653.913750127</v>
      </c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DT359" s="41"/>
      <c r="DU359" s="41"/>
      <c r="DV359" s="41"/>
      <c r="DW359" s="41"/>
      <c r="DX359" s="41"/>
    </row>
    <row r="360" spans="1:128" s="75" customFormat="1" ht="20.25" hidden="1" customHeight="1" x14ac:dyDescent="0.25">
      <c r="A360" s="86">
        <v>44654</v>
      </c>
      <c r="B360" s="207" t="s">
        <v>754</v>
      </c>
      <c r="C360" s="76" t="s">
        <v>755</v>
      </c>
      <c r="D360" s="85" t="s">
        <v>756</v>
      </c>
      <c r="E360" s="178"/>
      <c r="F360" s="178">
        <v>11526</v>
      </c>
      <c r="G360" s="198">
        <f t="shared" si="9"/>
        <v>90432127.913750127</v>
      </c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DT360" s="41"/>
      <c r="DU360" s="41"/>
      <c r="DV360" s="41"/>
      <c r="DW360" s="41"/>
      <c r="DX360" s="41"/>
    </row>
    <row r="361" spans="1:128" s="75" customFormat="1" ht="63" hidden="1" x14ac:dyDescent="0.25">
      <c r="A361" s="86">
        <v>44654</v>
      </c>
      <c r="B361" s="207" t="s">
        <v>757</v>
      </c>
      <c r="C361" s="76" t="s">
        <v>758</v>
      </c>
      <c r="D361" s="85" t="s">
        <v>759</v>
      </c>
      <c r="E361" s="178"/>
      <c r="F361" s="178">
        <v>1058009</v>
      </c>
      <c r="G361" s="198">
        <f t="shared" si="9"/>
        <v>89374118.913750127</v>
      </c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/>
      <c r="DX361" s="41"/>
    </row>
    <row r="362" spans="1:128" s="75" customFormat="1" ht="31.5" hidden="1" x14ac:dyDescent="0.25">
      <c r="A362" s="86">
        <v>44654</v>
      </c>
      <c r="B362" s="207" t="s">
        <v>760</v>
      </c>
      <c r="C362" s="76" t="s">
        <v>700</v>
      </c>
      <c r="D362" s="85" t="s">
        <v>761</v>
      </c>
      <c r="E362" s="178"/>
      <c r="F362" s="178">
        <v>375537.85</v>
      </c>
      <c r="G362" s="198">
        <f t="shared" si="9"/>
        <v>88998581.063750133</v>
      </c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DT362" s="41"/>
      <c r="DU362" s="41"/>
      <c r="DV362" s="41"/>
      <c r="DW362" s="41"/>
      <c r="DX362" s="41"/>
    </row>
    <row r="363" spans="1:128" s="75" customFormat="1" ht="15.75" hidden="1" x14ac:dyDescent="0.25">
      <c r="A363" s="86">
        <v>44654</v>
      </c>
      <c r="B363" s="207" t="s">
        <v>762</v>
      </c>
      <c r="C363" s="76" t="s">
        <v>55</v>
      </c>
      <c r="D363" s="85" t="s">
        <v>763</v>
      </c>
      <c r="E363" s="178"/>
      <c r="F363" s="178">
        <v>1708575</v>
      </c>
      <c r="G363" s="198">
        <f t="shared" si="9"/>
        <v>87290006.063750133</v>
      </c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</row>
    <row r="364" spans="1:128" s="75" customFormat="1" ht="15.75" hidden="1" x14ac:dyDescent="0.25">
      <c r="A364" s="86">
        <v>44654</v>
      </c>
      <c r="B364" s="207" t="s">
        <v>764</v>
      </c>
      <c r="C364" s="76" t="s">
        <v>765</v>
      </c>
      <c r="D364" s="85" t="s">
        <v>766</v>
      </c>
      <c r="E364" s="178"/>
      <c r="F364" s="178">
        <v>109836</v>
      </c>
      <c r="G364" s="198">
        <f t="shared" si="9"/>
        <v>87180170.063750133</v>
      </c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DT364" s="41"/>
      <c r="DU364" s="41"/>
      <c r="DV364" s="41"/>
      <c r="DW364" s="41"/>
      <c r="DX364" s="41"/>
    </row>
    <row r="365" spans="1:128" s="75" customFormat="1" ht="31.5" hidden="1" x14ac:dyDescent="0.25">
      <c r="A365" s="86">
        <v>44654</v>
      </c>
      <c r="B365" s="207" t="s">
        <v>767</v>
      </c>
      <c r="C365" s="85" t="s">
        <v>768</v>
      </c>
      <c r="D365" s="85" t="s">
        <v>769</v>
      </c>
      <c r="E365" s="178"/>
      <c r="F365" s="178">
        <v>257518</v>
      </c>
      <c r="G365" s="198">
        <f t="shared" si="9"/>
        <v>86922652.063750133</v>
      </c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DT365" s="41"/>
      <c r="DU365" s="41"/>
      <c r="DV365" s="41"/>
      <c r="DW365" s="41"/>
      <c r="DX365" s="41"/>
    </row>
    <row r="366" spans="1:128" s="75" customFormat="1" ht="31.5" hidden="1" x14ac:dyDescent="0.25">
      <c r="A366" s="86">
        <v>44654</v>
      </c>
      <c r="B366" s="207" t="s">
        <v>770</v>
      </c>
      <c r="C366" s="85" t="s">
        <v>457</v>
      </c>
      <c r="D366" s="85" t="s">
        <v>771</v>
      </c>
      <c r="E366" s="178"/>
      <c r="F366" s="178">
        <v>193286.5</v>
      </c>
      <c r="G366" s="198">
        <f t="shared" si="9"/>
        <v>86729365.563750133</v>
      </c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DT366" s="41"/>
      <c r="DU366" s="41"/>
      <c r="DV366" s="41"/>
      <c r="DW366" s="41"/>
      <c r="DX366" s="41"/>
    </row>
    <row r="367" spans="1:128" s="75" customFormat="1" ht="31.5" hidden="1" x14ac:dyDescent="0.25">
      <c r="A367" s="86">
        <v>44654</v>
      </c>
      <c r="B367" s="207" t="s">
        <v>772</v>
      </c>
      <c r="C367" s="85" t="s">
        <v>457</v>
      </c>
      <c r="D367" s="85" t="s">
        <v>773</v>
      </c>
      <c r="E367" s="178"/>
      <c r="F367" s="178">
        <v>677234.4</v>
      </c>
      <c r="G367" s="198">
        <f t="shared" si="9"/>
        <v>86052131.163750127</v>
      </c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</row>
    <row r="368" spans="1:128" s="75" customFormat="1" ht="31.5" hidden="1" x14ac:dyDescent="0.25">
      <c r="A368" s="86">
        <v>44654</v>
      </c>
      <c r="B368" s="207" t="s">
        <v>774</v>
      </c>
      <c r="C368" s="76" t="s">
        <v>51</v>
      </c>
      <c r="D368" s="85" t="s">
        <v>775</v>
      </c>
      <c r="E368" s="178"/>
      <c r="F368" s="178">
        <v>639009</v>
      </c>
      <c r="G368" s="199">
        <f t="shared" si="9"/>
        <v>85413122.163750127</v>
      </c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</row>
    <row r="369" spans="1:128" s="75" customFormat="1" ht="21.75" hidden="1" customHeight="1" x14ac:dyDescent="0.25">
      <c r="A369" s="86">
        <v>44745</v>
      </c>
      <c r="B369" s="87"/>
      <c r="C369" s="76" t="s">
        <v>13</v>
      </c>
      <c r="D369" s="85" t="s">
        <v>22</v>
      </c>
      <c r="E369" s="178">
        <f>26577</f>
        <v>26577</v>
      </c>
      <c r="F369" s="178"/>
      <c r="G369" s="198">
        <f t="shared" si="9"/>
        <v>85439699.163750127</v>
      </c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  <c r="DS369" s="41"/>
      <c r="DT369" s="41"/>
      <c r="DU369" s="41"/>
      <c r="DV369" s="41"/>
      <c r="DW369" s="41"/>
      <c r="DX369" s="41"/>
    </row>
    <row r="370" spans="1:128" s="75" customFormat="1" ht="21.75" hidden="1" customHeight="1" x14ac:dyDescent="0.25">
      <c r="A370" s="86">
        <v>44745</v>
      </c>
      <c r="B370" s="87"/>
      <c r="C370" s="76" t="s">
        <v>13</v>
      </c>
      <c r="D370" s="85" t="s">
        <v>48</v>
      </c>
      <c r="E370" s="178">
        <v>682</v>
      </c>
      <c r="F370" s="178">
        <f>E370*0.025</f>
        <v>17.05</v>
      </c>
      <c r="G370" s="198">
        <f t="shared" si="9"/>
        <v>85440364.11375013</v>
      </c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  <c r="DS370" s="41"/>
      <c r="DT370" s="41"/>
      <c r="DU370" s="41"/>
      <c r="DV370" s="41"/>
      <c r="DW370" s="41"/>
      <c r="DX370" s="41"/>
    </row>
    <row r="371" spans="1:128" s="75" customFormat="1" ht="21.75" hidden="1" customHeight="1" x14ac:dyDescent="0.25">
      <c r="A371" s="86">
        <v>44745</v>
      </c>
      <c r="B371" s="87"/>
      <c r="C371" s="76" t="s">
        <v>13</v>
      </c>
      <c r="D371" s="85" t="s">
        <v>48</v>
      </c>
      <c r="E371" s="178">
        <v>235.48</v>
      </c>
      <c r="F371" s="178">
        <f>E371*0.025</f>
        <v>5.8870000000000005</v>
      </c>
      <c r="G371" s="199">
        <f t="shared" si="9"/>
        <v>85440593.70675014</v>
      </c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  <c r="DS371" s="41"/>
      <c r="DT371" s="41"/>
      <c r="DU371" s="41"/>
      <c r="DV371" s="41"/>
      <c r="DW371" s="41"/>
      <c r="DX371" s="41"/>
    </row>
    <row r="372" spans="1:128" s="75" customFormat="1" ht="21.75" hidden="1" customHeight="1" x14ac:dyDescent="0.25">
      <c r="A372" s="86">
        <v>44776</v>
      </c>
      <c r="B372" s="87"/>
      <c r="C372" s="76" t="s">
        <v>13</v>
      </c>
      <c r="D372" s="85" t="s">
        <v>22</v>
      </c>
      <c r="E372" s="178">
        <v>44703</v>
      </c>
      <c r="F372" s="178"/>
      <c r="G372" s="198">
        <f t="shared" si="9"/>
        <v>85485296.70675014</v>
      </c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  <c r="DS372" s="41"/>
      <c r="DT372" s="41"/>
      <c r="DU372" s="41"/>
      <c r="DV372" s="41"/>
      <c r="DW372" s="41"/>
      <c r="DX372" s="41"/>
    </row>
    <row r="373" spans="1:128" s="75" customFormat="1" ht="21.75" hidden="1" customHeight="1" x14ac:dyDescent="0.25">
      <c r="A373" s="86">
        <v>44776</v>
      </c>
      <c r="B373" s="87"/>
      <c r="C373" s="76" t="s">
        <v>13</v>
      </c>
      <c r="D373" s="85" t="s">
        <v>48</v>
      </c>
      <c r="E373" s="178">
        <v>30000</v>
      </c>
      <c r="F373" s="178">
        <f>E373*0.025</f>
        <v>750</v>
      </c>
      <c r="G373" s="198">
        <f t="shared" si="9"/>
        <v>85514546.70675014</v>
      </c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  <c r="BX373" s="41"/>
      <c r="BY373" s="41"/>
      <c r="BZ373" s="41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41"/>
      <c r="DC373" s="41"/>
      <c r="DD373" s="41"/>
      <c r="DE373" s="41"/>
      <c r="DF373" s="41"/>
      <c r="DG373" s="41"/>
      <c r="DH373" s="41"/>
      <c r="DI373" s="41"/>
      <c r="DJ373" s="41"/>
      <c r="DK373" s="41"/>
      <c r="DL373" s="41"/>
      <c r="DM373" s="41"/>
      <c r="DN373" s="41"/>
      <c r="DO373" s="41"/>
      <c r="DP373" s="41"/>
      <c r="DQ373" s="41"/>
      <c r="DR373" s="41"/>
      <c r="DS373" s="41"/>
      <c r="DT373" s="41"/>
      <c r="DU373" s="41"/>
      <c r="DV373" s="41"/>
      <c r="DW373" s="41"/>
      <c r="DX373" s="41"/>
    </row>
    <row r="374" spans="1:128" s="75" customFormat="1" ht="21.75" hidden="1" customHeight="1" x14ac:dyDescent="0.25">
      <c r="A374" s="86">
        <v>44776</v>
      </c>
      <c r="B374" s="87"/>
      <c r="C374" s="76" t="s">
        <v>13</v>
      </c>
      <c r="D374" s="85" t="s">
        <v>48</v>
      </c>
      <c r="E374" s="178">
        <v>60</v>
      </c>
      <c r="F374" s="178">
        <f>E374*0.025</f>
        <v>1.5</v>
      </c>
      <c r="G374" s="198">
        <f t="shared" si="9"/>
        <v>85514605.20675014</v>
      </c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41"/>
      <c r="DC374" s="41"/>
      <c r="DD374" s="41"/>
      <c r="DE374" s="41"/>
      <c r="DF374" s="41"/>
      <c r="DG374" s="41"/>
      <c r="DH374" s="41"/>
      <c r="DI374" s="41"/>
      <c r="DJ374" s="41"/>
      <c r="DK374" s="41"/>
      <c r="DL374" s="41"/>
      <c r="DM374" s="41"/>
      <c r="DN374" s="41"/>
      <c r="DO374" s="41"/>
      <c r="DP374" s="41"/>
      <c r="DQ374" s="41"/>
      <c r="DR374" s="41"/>
      <c r="DS374" s="41"/>
      <c r="DT374" s="41"/>
      <c r="DU374" s="41"/>
      <c r="DV374" s="41"/>
      <c r="DW374" s="41"/>
      <c r="DX374" s="41"/>
    </row>
    <row r="375" spans="1:128" s="75" customFormat="1" ht="21.75" hidden="1" customHeight="1" x14ac:dyDescent="0.25">
      <c r="A375" s="86">
        <v>44776</v>
      </c>
      <c r="B375" s="87"/>
      <c r="C375" s="76" t="s">
        <v>13</v>
      </c>
      <c r="D375" s="85" t="s">
        <v>48</v>
      </c>
      <c r="E375" s="178">
        <v>240</v>
      </c>
      <c r="F375" s="178">
        <f>E375*0.025</f>
        <v>6</v>
      </c>
      <c r="G375" s="198">
        <f t="shared" si="9"/>
        <v>85514839.20675014</v>
      </c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/>
      <c r="BX375" s="41"/>
      <c r="BY375" s="41"/>
      <c r="BZ375" s="41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  <c r="DH375" s="41"/>
      <c r="DI375" s="41"/>
      <c r="DJ375" s="41"/>
      <c r="DK375" s="41"/>
      <c r="DL375" s="41"/>
      <c r="DM375" s="41"/>
      <c r="DN375" s="41"/>
      <c r="DO375" s="41"/>
      <c r="DP375" s="41"/>
      <c r="DQ375" s="41"/>
      <c r="DR375" s="41"/>
      <c r="DS375" s="41"/>
      <c r="DT375" s="41"/>
      <c r="DU375" s="41"/>
      <c r="DV375" s="41"/>
      <c r="DW375" s="41"/>
      <c r="DX375" s="41"/>
    </row>
    <row r="376" spans="1:128" s="75" customFormat="1" ht="21.75" hidden="1" customHeight="1" x14ac:dyDescent="0.25">
      <c r="A376" s="86">
        <v>44776</v>
      </c>
      <c r="B376" s="87"/>
      <c r="C376" s="76" t="s">
        <v>12</v>
      </c>
      <c r="D376" s="85" t="s">
        <v>82</v>
      </c>
      <c r="E376" s="178">
        <v>704143.01</v>
      </c>
      <c r="F376" s="178"/>
      <c r="G376" s="198">
        <f t="shared" si="9"/>
        <v>86218982.216750145</v>
      </c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  <c r="BP376" s="41"/>
      <c r="BQ376" s="41"/>
      <c r="BR376" s="41"/>
      <c r="BS376" s="41"/>
      <c r="BT376" s="41"/>
      <c r="BU376" s="41"/>
      <c r="BV376" s="41"/>
      <c r="BW376" s="41"/>
      <c r="BX376" s="41"/>
      <c r="BY376" s="41"/>
      <c r="BZ376" s="41"/>
      <c r="CA376" s="41"/>
      <c r="CB376" s="41"/>
      <c r="CC376" s="41"/>
      <c r="CD376" s="41"/>
      <c r="CE376" s="41"/>
      <c r="CF376" s="41"/>
      <c r="CG376" s="41"/>
      <c r="CH376" s="41"/>
      <c r="CI376" s="41"/>
      <c r="CJ376" s="41"/>
      <c r="CK376" s="41"/>
      <c r="CL376" s="41"/>
      <c r="CM376" s="41"/>
      <c r="CN376" s="41"/>
      <c r="CO376" s="41"/>
      <c r="CP376" s="41"/>
      <c r="CQ376" s="41"/>
      <c r="CR376" s="41"/>
      <c r="CS376" s="41"/>
      <c r="CT376" s="41"/>
      <c r="CU376" s="41"/>
      <c r="CV376" s="41"/>
      <c r="CW376" s="41"/>
      <c r="CX376" s="41"/>
      <c r="CY376" s="41"/>
      <c r="CZ376" s="41"/>
      <c r="DA376" s="41"/>
      <c r="DB376" s="41"/>
      <c r="DC376" s="41"/>
      <c r="DD376" s="41"/>
      <c r="DE376" s="41"/>
      <c r="DF376" s="41"/>
      <c r="DG376" s="41"/>
      <c r="DH376" s="41"/>
      <c r="DI376" s="41"/>
      <c r="DJ376" s="41"/>
      <c r="DK376" s="41"/>
      <c r="DL376" s="41"/>
      <c r="DM376" s="41"/>
      <c r="DN376" s="41"/>
      <c r="DO376" s="41"/>
      <c r="DP376" s="41"/>
      <c r="DQ376" s="41"/>
      <c r="DR376" s="41"/>
      <c r="DS376" s="41"/>
      <c r="DT376" s="41"/>
      <c r="DU376" s="41"/>
      <c r="DV376" s="41"/>
      <c r="DW376" s="41"/>
      <c r="DX376" s="41"/>
    </row>
    <row r="377" spans="1:128" s="75" customFormat="1" ht="21.75" hidden="1" customHeight="1" x14ac:dyDescent="0.25">
      <c r="A377" s="86">
        <v>44776</v>
      </c>
      <c r="B377" s="87"/>
      <c r="C377" s="76" t="s">
        <v>12</v>
      </c>
      <c r="D377" s="85" t="s">
        <v>86</v>
      </c>
      <c r="E377" s="178">
        <v>205404.66</v>
      </c>
      <c r="F377" s="178"/>
      <c r="G377" s="198">
        <f t="shared" si="9"/>
        <v>86424386.876750141</v>
      </c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  <c r="BP377" s="41"/>
      <c r="BQ377" s="41"/>
      <c r="BR377" s="41"/>
      <c r="BS377" s="41"/>
      <c r="BT377" s="41"/>
      <c r="BU377" s="41"/>
      <c r="BV377" s="41"/>
      <c r="BW377" s="41"/>
      <c r="BX377" s="41"/>
      <c r="BY377" s="41"/>
      <c r="BZ377" s="41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  <c r="DS377" s="41"/>
      <c r="DT377" s="41"/>
      <c r="DU377" s="41"/>
      <c r="DV377" s="41"/>
      <c r="DW377" s="41"/>
      <c r="DX377" s="41"/>
    </row>
    <row r="378" spans="1:128" s="75" customFormat="1" ht="31.5" hidden="1" x14ac:dyDescent="0.25">
      <c r="A378" s="86">
        <v>44776</v>
      </c>
      <c r="B378" s="207" t="s">
        <v>776</v>
      </c>
      <c r="C378" s="76" t="s">
        <v>691</v>
      </c>
      <c r="D378" s="85" t="s">
        <v>777</v>
      </c>
      <c r="E378" s="178"/>
      <c r="F378" s="178">
        <v>141131.46</v>
      </c>
      <c r="G378" s="198">
        <f t="shared" si="9"/>
        <v>86283255.416750148</v>
      </c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  <c r="BP378" s="41"/>
      <c r="BQ378" s="41"/>
      <c r="BR378" s="41"/>
      <c r="BS378" s="41"/>
      <c r="BT378" s="41"/>
      <c r="BU378" s="41"/>
      <c r="BV378" s="41"/>
      <c r="BW378" s="41"/>
      <c r="BX378" s="41"/>
      <c r="BY378" s="41"/>
      <c r="BZ378" s="41"/>
      <c r="CA378" s="41"/>
      <c r="CB378" s="41"/>
      <c r="CC378" s="41"/>
      <c r="CD378" s="41"/>
      <c r="CE378" s="41"/>
      <c r="CF378" s="41"/>
      <c r="CG378" s="41"/>
      <c r="CH378" s="41"/>
      <c r="CI378" s="41"/>
      <c r="CJ378" s="41"/>
      <c r="CK378" s="41"/>
      <c r="CL378" s="41"/>
      <c r="CM378" s="41"/>
      <c r="CN378" s="41"/>
      <c r="CO378" s="41"/>
      <c r="CP378" s="41"/>
      <c r="CQ378" s="41"/>
      <c r="CR378" s="41"/>
      <c r="CS378" s="41"/>
      <c r="CT378" s="41"/>
      <c r="CU378" s="41"/>
      <c r="CV378" s="41"/>
      <c r="CW378" s="41"/>
      <c r="CX378" s="41"/>
      <c r="CY378" s="41"/>
      <c r="CZ378" s="41"/>
      <c r="DA378" s="41"/>
      <c r="DB378" s="41"/>
      <c r="DC378" s="41"/>
      <c r="DD378" s="41"/>
      <c r="DE378" s="41"/>
      <c r="DF378" s="41"/>
      <c r="DG378" s="41"/>
      <c r="DH378" s="41"/>
      <c r="DI378" s="41"/>
      <c r="DJ378" s="41"/>
      <c r="DK378" s="41"/>
      <c r="DL378" s="41"/>
      <c r="DM378" s="41"/>
      <c r="DN378" s="41"/>
      <c r="DO378" s="41"/>
      <c r="DP378" s="41"/>
      <c r="DQ378" s="41"/>
      <c r="DR378" s="41"/>
      <c r="DS378" s="41"/>
      <c r="DT378" s="41"/>
      <c r="DU378" s="41"/>
      <c r="DV378" s="41"/>
      <c r="DW378" s="41"/>
      <c r="DX378" s="41"/>
    </row>
    <row r="379" spans="1:128" s="75" customFormat="1" ht="31.5" hidden="1" x14ac:dyDescent="0.25">
      <c r="A379" s="86">
        <v>44776</v>
      </c>
      <c r="B379" s="207" t="s">
        <v>778</v>
      </c>
      <c r="C379" s="76" t="s">
        <v>779</v>
      </c>
      <c r="D379" s="85" t="s">
        <v>780</v>
      </c>
      <c r="E379" s="178"/>
      <c r="F379" s="178">
        <v>656383.66</v>
      </c>
      <c r="G379" s="199">
        <f t="shared" si="9"/>
        <v>85626871.756750152</v>
      </c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1"/>
      <c r="DM379" s="41"/>
      <c r="DN379" s="41"/>
      <c r="DO379" s="41"/>
      <c r="DP379" s="41"/>
      <c r="DQ379" s="41"/>
      <c r="DR379" s="41"/>
      <c r="DS379" s="41"/>
      <c r="DT379" s="41"/>
      <c r="DU379" s="41"/>
      <c r="DV379" s="41"/>
      <c r="DW379" s="41"/>
      <c r="DX379" s="41"/>
    </row>
    <row r="380" spans="1:128" s="75" customFormat="1" ht="21.75" hidden="1" customHeight="1" x14ac:dyDescent="0.25">
      <c r="A380" s="86">
        <v>44807</v>
      </c>
      <c r="B380" s="87"/>
      <c r="C380" s="76" t="s">
        <v>13</v>
      </c>
      <c r="D380" s="85" t="s">
        <v>22</v>
      </c>
      <c r="E380" s="178">
        <f>39232</f>
        <v>39232</v>
      </c>
      <c r="F380" s="178"/>
      <c r="G380" s="198">
        <f t="shared" si="9"/>
        <v>85666103.756750152</v>
      </c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 s="41"/>
      <c r="BZ380" s="41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41"/>
      <c r="DC380" s="41"/>
      <c r="DD380" s="41"/>
      <c r="DE380" s="41"/>
      <c r="DF380" s="41"/>
      <c r="DG380" s="41"/>
      <c r="DH380" s="41"/>
      <c r="DI380" s="41"/>
      <c r="DJ380" s="41"/>
      <c r="DK380" s="41"/>
      <c r="DL380" s="41"/>
      <c r="DM380" s="41"/>
      <c r="DN380" s="41"/>
      <c r="DO380" s="41"/>
      <c r="DP380" s="41"/>
      <c r="DQ380" s="41"/>
      <c r="DR380" s="41"/>
      <c r="DS380" s="41"/>
      <c r="DT380" s="41"/>
      <c r="DU380" s="41"/>
      <c r="DV380" s="41"/>
      <c r="DW380" s="41"/>
      <c r="DX380" s="41"/>
    </row>
    <row r="381" spans="1:128" s="75" customFormat="1" ht="21.75" hidden="1" customHeight="1" x14ac:dyDescent="0.25">
      <c r="A381" s="86">
        <v>44807</v>
      </c>
      <c r="B381" s="87"/>
      <c r="C381" s="76" t="s">
        <v>13</v>
      </c>
      <c r="D381" s="85" t="s">
        <v>48</v>
      </c>
      <c r="E381" s="178">
        <v>121</v>
      </c>
      <c r="F381" s="178">
        <f>E381*0.025</f>
        <v>3.0250000000000004</v>
      </c>
      <c r="G381" s="198">
        <f t="shared" si="9"/>
        <v>85666221.731750146</v>
      </c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 s="41"/>
      <c r="BZ381" s="41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  <c r="DH381" s="41"/>
      <c r="DI381" s="41"/>
      <c r="DJ381" s="41"/>
      <c r="DK381" s="41"/>
      <c r="DL381" s="41"/>
      <c r="DM381" s="41"/>
      <c r="DN381" s="41"/>
      <c r="DO381" s="41"/>
      <c r="DP381" s="41"/>
      <c r="DQ381" s="41"/>
      <c r="DR381" s="41"/>
      <c r="DS381" s="41"/>
      <c r="DT381" s="41"/>
      <c r="DU381" s="41"/>
      <c r="DV381" s="41"/>
      <c r="DW381" s="41"/>
      <c r="DX381" s="41"/>
    </row>
    <row r="382" spans="1:128" s="75" customFormat="1" ht="21.75" hidden="1" customHeight="1" x14ac:dyDescent="0.25">
      <c r="A382" s="86">
        <v>44807</v>
      </c>
      <c r="B382" s="87"/>
      <c r="C382" s="76" t="s">
        <v>13</v>
      </c>
      <c r="D382" s="85" t="s">
        <v>48</v>
      </c>
      <c r="E382" s="178">
        <v>400</v>
      </c>
      <c r="F382" s="178">
        <f>E382*0.025</f>
        <v>10</v>
      </c>
      <c r="G382" s="198">
        <f t="shared" si="9"/>
        <v>85666611.731750146</v>
      </c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  <c r="DS382" s="41"/>
      <c r="DT382" s="41"/>
      <c r="DU382" s="41"/>
      <c r="DV382" s="41"/>
      <c r="DW382" s="41"/>
      <c r="DX382" s="41"/>
    </row>
    <row r="383" spans="1:128" s="75" customFormat="1" ht="21.75" hidden="1" customHeight="1" x14ac:dyDescent="0.25">
      <c r="A383" s="86">
        <v>44807</v>
      </c>
      <c r="B383" s="87"/>
      <c r="C383" s="76" t="s">
        <v>13</v>
      </c>
      <c r="D383" s="85" t="s">
        <v>48</v>
      </c>
      <c r="E383" s="178">
        <v>300</v>
      </c>
      <c r="F383" s="178">
        <f>E383*0.025</f>
        <v>7.5</v>
      </c>
      <c r="G383" s="198">
        <f t="shared" si="9"/>
        <v>85666904.231750146</v>
      </c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  <c r="DH383" s="41"/>
      <c r="DI383" s="41"/>
      <c r="DJ383" s="41"/>
      <c r="DK383" s="41"/>
      <c r="DL383" s="41"/>
      <c r="DM383" s="41"/>
      <c r="DN383" s="41"/>
      <c r="DO383" s="41"/>
      <c r="DP383" s="41"/>
      <c r="DQ383" s="41"/>
      <c r="DR383" s="41"/>
      <c r="DS383" s="41"/>
      <c r="DT383" s="41"/>
      <c r="DU383" s="41"/>
      <c r="DV383" s="41"/>
      <c r="DW383" s="41"/>
      <c r="DX383" s="41"/>
    </row>
    <row r="384" spans="1:128" s="75" customFormat="1" ht="21.75" hidden="1" customHeight="1" x14ac:dyDescent="0.25">
      <c r="A384" s="86">
        <v>44807</v>
      </c>
      <c r="B384" s="87"/>
      <c r="C384" s="76" t="s">
        <v>12</v>
      </c>
      <c r="D384" s="85" t="s">
        <v>660</v>
      </c>
      <c r="E384" s="178">
        <v>2187.4899999999998</v>
      </c>
      <c r="F384" s="178"/>
      <c r="G384" s="198">
        <f t="shared" si="9"/>
        <v>85669091.72175014</v>
      </c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 s="41"/>
      <c r="BZ384" s="41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41"/>
      <c r="DC384" s="41"/>
      <c r="DD384" s="41"/>
      <c r="DE384" s="41"/>
      <c r="DF384" s="41"/>
      <c r="DG384" s="41"/>
      <c r="DH384" s="41"/>
      <c r="DI384" s="41"/>
      <c r="DJ384" s="41"/>
      <c r="DK384" s="41"/>
      <c r="DL384" s="41"/>
      <c r="DM384" s="41"/>
      <c r="DN384" s="41"/>
      <c r="DO384" s="41"/>
      <c r="DP384" s="41"/>
      <c r="DQ384" s="41"/>
      <c r="DR384" s="41"/>
      <c r="DS384" s="41"/>
      <c r="DT384" s="41"/>
      <c r="DU384" s="41"/>
      <c r="DV384" s="41"/>
      <c r="DW384" s="41"/>
      <c r="DX384" s="41"/>
    </row>
    <row r="385" spans="1:128" s="75" customFormat="1" ht="21.75" hidden="1" customHeight="1" x14ac:dyDescent="0.25">
      <c r="A385" s="86">
        <v>44807</v>
      </c>
      <c r="B385" s="87"/>
      <c r="C385" s="76" t="s">
        <v>12</v>
      </c>
      <c r="D385" s="85" t="s">
        <v>661</v>
      </c>
      <c r="E385" s="178">
        <v>835810.96</v>
      </c>
      <c r="F385" s="178"/>
      <c r="G385" s="198">
        <f t="shared" si="9"/>
        <v>86504902.681750134</v>
      </c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 s="41"/>
      <c r="BZ385" s="41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  <c r="DH385" s="41"/>
      <c r="DI385" s="41"/>
      <c r="DJ385" s="41"/>
      <c r="DK385" s="41"/>
      <c r="DL385" s="41"/>
      <c r="DM385" s="41"/>
      <c r="DN385" s="41"/>
      <c r="DO385" s="41"/>
      <c r="DP385" s="41"/>
      <c r="DQ385" s="41"/>
      <c r="DR385" s="41"/>
      <c r="DS385" s="41"/>
      <c r="DT385" s="41"/>
      <c r="DU385" s="41"/>
      <c r="DV385" s="41"/>
      <c r="DW385" s="41"/>
      <c r="DX385" s="41"/>
    </row>
    <row r="386" spans="1:128" s="75" customFormat="1" ht="36" hidden="1" customHeight="1" x14ac:dyDescent="0.25">
      <c r="A386" s="86">
        <v>44807</v>
      </c>
      <c r="B386" s="207" t="s">
        <v>781</v>
      </c>
      <c r="C386" s="76" t="s">
        <v>688</v>
      </c>
      <c r="D386" s="85" t="s">
        <v>782</v>
      </c>
      <c r="E386" s="178"/>
      <c r="F386" s="178">
        <v>1194581.25</v>
      </c>
      <c r="G386" s="198">
        <f t="shared" si="9"/>
        <v>85310321.431750134</v>
      </c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/>
      <c r="BT386" s="41"/>
      <c r="BU386" s="41"/>
      <c r="BV386" s="41"/>
      <c r="BW386" s="41"/>
      <c r="BX386" s="41"/>
      <c r="BY386" s="41"/>
      <c r="BZ386" s="41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41"/>
      <c r="DC386" s="41"/>
      <c r="DD386" s="41"/>
      <c r="DE386" s="41"/>
      <c r="DF386" s="41"/>
      <c r="DG386" s="41"/>
      <c r="DH386" s="41"/>
      <c r="DI386" s="41"/>
      <c r="DJ386" s="41"/>
      <c r="DK386" s="41"/>
      <c r="DL386" s="41"/>
      <c r="DM386" s="41"/>
      <c r="DN386" s="41"/>
      <c r="DO386" s="41"/>
      <c r="DP386" s="41"/>
      <c r="DQ386" s="41"/>
      <c r="DR386" s="41"/>
      <c r="DS386" s="41"/>
      <c r="DT386" s="41"/>
      <c r="DU386" s="41"/>
      <c r="DV386" s="41"/>
      <c r="DW386" s="41"/>
      <c r="DX386" s="41"/>
    </row>
    <row r="387" spans="1:128" s="75" customFormat="1" ht="31.5" hidden="1" x14ac:dyDescent="0.25">
      <c r="A387" s="86">
        <v>44807</v>
      </c>
      <c r="B387" s="207" t="s">
        <v>783</v>
      </c>
      <c r="C387" s="85" t="s">
        <v>433</v>
      </c>
      <c r="D387" s="85" t="s">
        <v>784</v>
      </c>
      <c r="E387" s="178"/>
      <c r="F387" s="178">
        <v>1026000</v>
      </c>
      <c r="G387" s="198">
        <f t="shared" si="9"/>
        <v>84284321.431750134</v>
      </c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  <c r="BO387" s="41"/>
      <c r="BP387" s="41"/>
      <c r="BQ387" s="41"/>
      <c r="BR387" s="41"/>
      <c r="BS387" s="41"/>
      <c r="BT387" s="41"/>
      <c r="BU387" s="41"/>
      <c r="BV387" s="41"/>
      <c r="BW387" s="41"/>
      <c r="BX387" s="41"/>
      <c r="BY387" s="41"/>
      <c r="BZ387" s="41"/>
      <c r="CA387" s="41"/>
      <c r="CB387" s="41"/>
      <c r="CC387" s="41"/>
      <c r="CD387" s="41"/>
      <c r="CE387" s="41"/>
      <c r="CF387" s="41"/>
      <c r="CG387" s="41"/>
      <c r="CH387" s="41"/>
      <c r="CI387" s="41"/>
      <c r="CJ387" s="41"/>
      <c r="CK387" s="41"/>
      <c r="CL387" s="41"/>
      <c r="CM387" s="41"/>
      <c r="CN387" s="41"/>
      <c r="CO387" s="41"/>
      <c r="CP387" s="41"/>
      <c r="CQ387" s="41"/>
      <c r="CR387" s="41"/>
      <c r="CS387" s="41"/>
      <c r="CT387" s="41"/>
      <c r="CU387" s="41"/>
      <c r="CV387" s="41"/>
      <c r="CW387" s="41"/>
      <c r="CX387" s="41"/>
      <c r="CY387" s="41"/>
      <c r="CZ387" s="41"/>
      <c r="DA387" s="41"/>
      <c r="DB387" s="41"/>
      <c r="DC387" s="41"/>
      <c r="DD387" s="41"/>
      <c r="DE387" s="41"/>
      <c r="DF387" s="41"/>
      <c r="DG387" s="41"/>
      <c r="DH387" s="41"/>
      <c r="DI387" s="41"/>
      <c r="DJ387" s="41"/>
      <c r="DK387" s="41"/>
      <c r="DL387" s="41"/>
      <c r="DM387" s="41"/>
      <c r="DN387" s="41"/>
      <c r="DO387" s="41"/>
      <c r="DP387" s="41"/>
      <c r="DQ387" s="41"/>
      <c r="DR387" s="41"/>
      <c r="DS387" s="41"/>
      <c r="DT387" s="41"/>
      <c r="DU387" s="41"/>
      <c r="DV387" s="41"/>
      <c r="DW387" s="41"/>
      <c r="DX387" s="41"/>
    </row>
    <row r="388" spans="1:128" s="75" customFormat="1" ht="21.75" hidden="1" customHeight="1" x14ac:dyDescent="0.25">
      <c r="A388" s="86">
        <v>44807</v>
      </c>
      <c r="B388" s="207" t="s">
        <v>785</v>
      </c>
      <c r="C388" s="76" t="s">
        <v>786</v>
      </c>
      <c r="D388" s="85" t="s">
        <v>787</v>
      </c>
      <c r="E388" s="178"/>
      <c r="F388" s="178">
        <v>228087.78</v>
      </c>
      <c r="G388" s="198">
        <f t="shared" si="9"/>
        <v>84056233.651750132</v>
      </c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 s="41"/>
      <c r="BZ388" s="41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41"/>
      <c r="DC388" s="41"/>
      <c r="DD388" s="41"/>
      <c r="DE388" s="41"/>
      <c r="DF388" s="41"/>
      <c r="DG388" s="41"/>
      <c r="DH388" s="41"/>
      <c r="DI388" s="41"/>
      <c r="DJ388" s="41"/>
      <c r="DK388" s="41"/>
      <c r="DL388" s="41"/>
      <c r="DM388" s="41"/>
      <c r="DN388" s="41"/>
      <c r="DO388" s="41"/>
      <c r="DP388" s="41"/>
      <c r="DQ388" s="41"/>
      <c r="DR388" s="41"/>
      <c r="DS388" s="41"/>
      <c r="DT388" s="41"/>
      <c r="DU388" s="41"/>
      <c r="DV388" s="41"/>
      <c r="DW388" s="41"/>
      <c r="DX388" s="41"/>
    </row>
    <row r="389" spans="1:128" s="75" customFormat="1" ht="47.25" hidden="1" x14ac:dyDescent="0.25">
      <c r="A389" s="86">
        <v>44807</v>
      </c>
      <c r="B389" s="207" t="s">
        <v>788</v>
      </c>
      <c r="C389" s="76" t="s">
        <v>34</v>
      </c>
      <c r="D389" s="85" t="s">
        <v>789</v>
      </c>
      <c r="E389" s="178"/>
      <c r="F389" s="178">
        <v>19950</v>
      </c>
      <c r="G389" s="198">
        <f t="shared" si="9"/>
        <v>84036283.651750132</v>
      </c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  <c r="DH389" s="41"/>
      <c r="DI389" s="41"/>
      <c r="DJ389" s="41"/>
      <c r="DK389" s="41"/>
      <c r="DL389" s="41"/>
      <c r="DM389" s="41"/>
      <c r="DN389" s="41"/>
      <c r="DO389" s="41"/>
      <c r="DP389" s="41"/>
      <c r="DQ389" s="41"/>
      <c r="DR389" s="41"/>
      <c r="DS389" s="41"/>
      <c r="DT389" s="41"/>
      <c r="DU389" s="41"/>
      <c r="DV389" s="41"/>
      <c r="DW389" s="41"/>
      <c r="DX389" s="41"/>
    </row>
    <row r="390" spans="1:128" s="75" customFormat="1" ht="31.5" hidden="1" x14ac:dyDescent="0.25">
      <c r="A390" s="86">
        <v>44807</v>
      </c>
      <c r="B390" s="207" t="s">
        <v>790</v>
      </c>
      <c r="C390" s="76" t="s">
        <v>791</v>
      </c>
      <c r="D390" s="85" t="s">
        <v>792</v>
      </c>
      <c r="E390" s="178"/>
      <c r="F390" s="178">
        <v>667968.75</v>
      </c>
      <c r="G390" s="199">
        <f t="shared" si="9"/>
        <v>83368314.901750132</v>
      </c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  <c r="DS390" s="41"/>
      <c r="DT390" s="41"/>
      <c r="DU390" s="41"/>
      <c r="DV390" s="41"/>
      <c r="DW390" s="41"/>
      <c r="DX390" s="41"/>
    </row>
    <row r="391" spans="1:128" s="75" customFormat="1" ht="21.75" hidden="1" customHeight="1" x14ac:dyDescent="0.25">
      <c r="A391" s="86">
        <v>44837</v>
      </c>
      <c r="B391" s="87"/>
      <c r="C391" s="76" t="s">
        <v>13</v>
      </c>
      <c r="D391" s="85" t="s">
        <v>22</v>
      </c>
      <c r="E391" s="178">
        <v>25296</v>
      </c>
      <c r="F391" s="178"/>
      <c r="G391" s="198">
        <f t="shared" si="9"/>
        <v>83393610.901750132</v>
      </c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  <c r="DS391" s="41"/>
      <c r="DT391" s="41"/>
      <c r="DU391" s="41"/>
      <c r="DV391" s="41"/>
      <c r="DW391" s="41"/>
      <c r="DX391" s="41"/>
    </row>
    <row r="392" spans="1:128" s="75" customFormat="1" ht="21.75" hidden="1" customHeight="1" x14ac:dyDescent="0.25">
      <c r="A392" s="86">
        <v>44837</v>
      </c>
      <c r="B392" s="87"/>
      <c r="C392" s="76" t="s">
        <v>13</v>
      </c>
      <c r="D392" s="85" t="s">
        <v>48</v>
      </c>
      <c r="E392" s="178">
        <v>121</v>
      </c>
      <c r="F392" s="178">
        <f>E392*0.025</f>
        <v>3.0250000000000004</v>
      </c>
      <c r="G392" s="198">
        <f t="shared" si="9"/>
        <v>83393728.876750126</v>
      </c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  <c r="DH392" s="41"/>
      <c r="DI392" s="41"/>
      <c r="DJ392" s="41"/>
      <c r="DK392" s="41"/>
      <c r="DL392" s="41"/>
      <c r="DM392" s="41"/>
      <c r="DN392" s="41"/>
      <c r="DO392" s="41"/>
      <c r="DP392" s="41"/>
      <c r="DQ392" s="41"/>
      <c r="DR392" s="41"/>
      <c r="DS392" s="41"/>
      <c r="DT392" s="41"/>
      <c r="DU392" s="41"/>
      <c r="DV392" s="41"/>
      <c r="DW392" s="41"/>
      <c r="DX392" s="41"/>
    </row>
    <row r="393" spans="1:128" s="75" customFormat="1" ht="21.75" hidden="1" customHeight="1" x14ac:dyDescent="0.25">
      <c r="A393" s="86">
        <v>44837</v>
      </c>
      <c r="B393" s="87"/>
      <c r="C393" s="76" t="s">
        <v>13</v>
      </c>
      <c r="D393" s="85" t="s">
        <v>48</v>
      </c>
      <c r="E393" s="173">
        <v>100</v>
      </c>
      <c r="F393" s="178">
        <f>E393*0.025</f>
        <v>2.5</v>
      </c>
      <c r="G393" s="198">
        <f t="shared" ref="G393:G456" si="11">G392+E393-F393</f>
        <v>83393826.376750126</v>
      </c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/>
      <c r="DD393" s="41"/>
      <c r="DE393" s="41"/>
      <c r="DF393" s="41"/>
      <c r="DG393" s="41"/>
      <c r="DH393" s="41"/>
      <c r="DI393" s="41"/>
      <c r="DJ393" s="41"/>
      <c r="DK393" s="41"/>
      <c r="DL393" s="41"/>
      <c r="DM393" s="41"/>
      <c r="DN393" s="41"/>
      <c r="DO393" s="41"/>
      <c r="DP393" s="41"/>
      <c r="DQ393" s="41"/>
      <c r="DR393" s="41"/>
      <c r="DS393" s="41"/>
      <c r="DT393" s="41"/>
      <c r="DU393" s="41"/>
      <c r="DV393" s="41"/>
      <c r="DW393" s="41"/>
      <c r="DX393" s="41"/>
    </row>
    <row r="394" spans="1:128" s="75" customFormat="1" ht="31.5" hidden="1" x14ac:dyDescent="0.25">
      <c r="A394" s="86">
        <v>44837</v>
      </c>
      <c r="B394" s="208" t="s">
        <v>814</v>
      </c>
      <c r="C394" s="171" t="s">
        <v>815</v>
      </c>
      <c r="D394" s="172" t="s">
        <v>816</v>
      </c>
      <c r="E394" s="173"/>
      <c r="F394" s="173">
        <v>515363.78</v>
      </c>
      <c r="G394" s="198">
        <f t="shared" si="11"/>
        <v>82878462.596750125</v>
      </c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 s="41"/>
      <c r="BZ394" s="41"/>
      <c r="CA394" s="41"/>
      <c r="CB394" s="41"/>
      <c r="CC394" s="41"/>
      <c r="CD394" s="41"/>
      <c r="CE394" s="41"/>
      <c r="CF394" s="41"/>
      <c r="CG394" s="41"/>
      <c r="CH394" s="41"/>
      <c r="CI394" s="41"/>
      <c r="CJ394" s="41"/>
      <c r="CK394" s="41"/>
      <c r="CL394" s="41"/>
      <c r="CM394" s="41"/>
      <c r="CN394" s="41"/>
      <c r="CO394" s="41"/>
      <c r="CP394" s="41"/>
      <c r="CQ394" s="41"/>
      <c r="CR394" s="41"/>
      <c r="CS394" s="41"/>
      <c r="CT394" s="41"/>
      <c r="CU394" s="41"/>
      <c r="CV394" s="41"/>
      <c r="CW394" s="41"/>
      <c r="CX394" s="41"/>
      <c r="CY394" s="41"/>
      <c r="CZ394" s="41"/>
      <c r="DA394" s="41"/>
      <c r="DB394" s="41"/>
      <c r="DC394" s="41"/>
      <c r="DD394" s="41"/>
      <c r="DE394" s="41"/>
      <c r="DF394" s="41"/>
      <c r="DG394" s="41"/>
      <c r="DH394" s="41"/>
      <c r="DI394" s="41"/>
      <c r="DJ394" s="41"/>
      <c r="DK394" s="41"/>
      <c r="DL394" s="41"/>
      <c r="DM394" s="41"/>
      <c r="DN394" s="41"/>
      <c r="DO394" s="41"/>
      <c r="DP394" s="41"/>
      <c r="DQ394" s="41"/>
      <c r="DR394" s="41"/>
      <c r="DS394" s="41"/>
      <c r="DT394" s="41"/>
      <c r="DU394" s="41"/>
      <c r="DV394" s="41"/>
      <c r="DW394" s="41"/>
      <c r="DX394" s="41"/>
    </row>
    <row r="395" spans="1:128" s="75" customFormat="1" ht="47.25" hidden="1" x14ac:dyDescent="0.25">
      <c r="A395" s="86">
        <v>44837</v>
      </c>
      <c r="B395" s="208" t="s">
        <v>793</v>
      </c>
      <c r="C395" s="171" t="s">
        <v>794</v>
      </c>
      <c r="D395" s="172" t="s">
        <v>795</v>
      </c>
      <c r="E395" s="173"/>
      <c r="F395" s="173">
        <v>1814430.03</v>
      </c>
      <c r="G395" s="198">
        <f t="shared" si="11"/>
        <v>81064032.566750124</v>
      </c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  <c r="DS395" s="41"/>
      <c r="DT395" s="41"/>
      <c r="DU395" s="41"/>
      <c r="DV395" s="41"/>
      <c r="DW395" s="41"/>
      <c r="DX395" s="41"/>
    </row>
    <row r="396" spans="1:128" s="75" customFormat="1" ht="31.5" hidden="1" x14ac:dyDescent="0.25">
      <c r="A396" s="86">
        <v>44837</v>
      </c>
      <c r="B396" s="208" t="s">
        <v>817</v>
      </c>
      <c r="C396" s="171" t="s">
        <v>287</v>
      </c>
      <c r="D396" s="172" t="s">
        <v>818</v>
      </c>
      <c r="E396" s="173"/>
      <c r="F396" s="173">
        <v>34645.74</v>
      </c>
      <c r="G396" s="198">
        <f t="shared" si="11"/>
        <v>81029386.826750129</v>
      </c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  <c r="BO396" s="41"/>
      <c r="BP396" s="41"/>
      <c r="BQ396" s="41"/>
      <c r="BR396" s="41"/>
      <c r="BS396" s="41"/>
      <c r="BT396" s="41"/>
      <c r="BU396" s="41"/>
      <c r="BV396" s="41"/>
      <c r="BW396" s="41"/>
      <c r="BX396" s="41"/>
      <c r="BY396" s="41"/>
      <c r="BZ396" s="41"/>
      <c r="CA396" s="41"/>
      <c r="CB396" s="41"/>
      <c r="CC396" s="41"/>
      <c r="CD396" s="41"/>
      <c r="CE396" s="41"/>
      <c r="CF396" s="41"/>
      <c r="CG396" s="41"/>
      <c r="CH396" s="41"/>
      <c r="CI396" s="41"/>
      <c r="CJ396" s="41"/>
      <c r="CK396" s="41"/>
      <c r="CL396" s="41"/>
      <c r="CM396" s="41"/>
      <c r="CN396" s="41"/>
      <c r="CO396" s="41"/>
      <c r="CP396" s="41"/>
      <c r="CQ396" s="41"/>
      <c r="CR396" s="41"/>
      <c r="CS396" s="41"/>
      <c r="CT396" s="41"/>
      <c r="CU396" s="41"/>
      <c r="CV396" s="41"/>
      <c r="CW396" s="41"/>
      <c r="CX396" s="41"/>
      <c r="CY396" s="41"/>
      <c r="CZ396" s="41"/>
      <c r="DA396" s="41"/>
      <c r="DB396" s="41"/>
      <c r="DC396" s="41"/>
      <c r="DD396" s="41"/>
      <c r="DE396" s="41"/>
      <c r="DF396" s="41"/>
      <c r="DG396" s="41"/>
      <c r="DH396" s="41"/>
      <c r="DI396" s="41"/>
      <c r="DJ396" s="41"/>
      <c r="DK396" s="41"/>
      <c r="DL396" s="41"/>
      <c r="DM396" s="41"/>
      <c r="DN396" s="41"/>
      <c r="DO396" s="41"/>
      <c r="DP396" s="41"/>
      <c r="DQ396" s="41"/>
      <c r="DR396" s="41"/>
      <c r="DS396" s="41"/>
      <c r="DT396" s="41"/>
      <c r="DU396" s="41"/>
      <c r="DV396" s="41"/>
      <c r="DW396" s="41"/>
      <c r="DX396" s="41"/>
    </row>
    <row r="397" spans="1:128" s="75" customFormat="1" ht="15.75" hidden="1" x14ac:dyDescent="0.25">
      <c r="A397" s="86">
        <v>44837</v>
      </c>
      <c r="B397" s="208" t="s">
        <v>819</v>
      </c>
      <c r="C397" s="171" t="s">
        <v>820</v>
      </c>
      <c r="D397" s="172" t="s">
        <v>821</v>
      </c>
      <c r="E397" s="173"/>
      <c r="F397" s="173">
        <v>103164.48</v>
      </c>
      <c r="G397" s="198">
        <f t="shared" si="11"/>
        <v>80926222.346750125</v>
      </c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41"/>
      <c r="BP397" s="41"/>
      <c r="BQ397" s="41"/>
      <c r="BR397" s="41"/>
      <c r="BS397" s="41"/>
      <c r="BT397" s="41"/>
      <c r="BU397" s="41"/>
      <c r="BV397" s="41"/>
      <c r="BW397" s="41"/>
      <c r="BX397" s="41"/>
      <c r="BY397" s="41"/>
      <c r="BZ397" s="41"/>
      <c r="CA397" s="41"/>
      <c r="CB397" s="41"/>
      <c r="CC397" s="41"/>
      <c r="CD397" s="41"/>
      <c r="CE397" s="41"/>
      <c r="CF397" s="41"/>
      <c r="CG397" s="41"/>
      <c r="CH397" s="41"/>
      <c r="CI397" s="41"/>
      <c r="CJ397" s="41"/>
      <c r="CK397" s="41"/>
      <c r="CL397" s="41"/>
      <c r="CM397" s="41"/>
      <c r="CN397" s="41"/>
      <c r="CO397" s="41"/>
      <c r="CP397" s="41"/>
      <c r="CQ397" s="41"/>
      <c r="CR397" s="41"/>
      <c r="CS397" s="41"/>
      <c r="CT397" s="41"/>
      <c r="CU397" s="41"/>
      <c r="CV397" s="41"/>
      <c r="CW397" s="41"/>
      <c r="CX397" s="41"/>
      <c r="CY397" s="41"/>
      <c r="CZ397" s="41"/>
      <c r="DA397" s="41"/>
      <c r="DB397" s="41"/>
      <c r="DC397" s="41"/>
      <c r="DD397" s="41"/>
      <c r="DE397" s="41"/>
      <c r="DF397" s="41"/>
      <c r="DG397" s="41"/>
      <c r="DH397" s="41"/>
      <c r="DI397" s="41"/>
      <c r="DJ397" s="41"/>
      <c r="DK397" s="41"/>
      <c r="DL397" s="41"/>
      <c r="DM397" s="41"/>
      <c r="DN397" s="41"/>
      <c r="DO397" s="41"/>
      <c r="DP397" s="41"/>
      <c r="DQ397" s="41"/>
      <c r="DR397" s="41"/>
      <c r="DS397" s="41"/>
      <c r="DT397" s="41"/>
      <c r="DU397" s="41"/>
      <c r="DV397" s="41"/>
      <c r="DW397" s="41"/>
      <c r="DX397" s="41"/>
    </row>
    <row r="398" spans="1:128" s="75" customFormat="1" ht="31.5" hidden="1" x14ac:dyDescent="0.25">
      <c r="A398" s="86">
        <v>44837</v>
      </c>
      <c r="B398" s="208" t="s">
        <v>796</v>
      </c>
      <c r="C398" s="171" t="s">
        <v>822</v>
      </c>
      <c r="D398" s="172" t="s">
        <v>893</v>
      </c>
      <c r="E398" s="173"/>
      <c r="F398" s="173">
        <v>31144.639999999999</v>
      </c>
      <c r="G398" s="198">
        <f t="shared" si="11"/>
        <v>80895077.706750125</v>
      </c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 s="41"/>
      <c r="BZ398" s="41"/>
      <c r="CA398" s="41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41"/>
      <c r="DC398" s="41"/>
      <c r="DD398" s="41"/>
      <c r="DE398" s="41"/>
      <c r="DF398" s="41"/>
      <c r="DG398" s="41"/>
      <c r="DH398" s="41"/>
      <c r="DI398" s="41"/>
      <c r="DJ398" s="41"/>
      <c r="DK398" s="41"/>
      <c r="DL398" s="41"/>
      <c r="DM398" s="41"/>
      <c r="DN398" s="41"/>
      <c r="DO398" s="41"/>
      <c r="DP398" s="41"/>
      <c r="DQ398" s="41"/>
      <c r="DR398" s="41"/>
      <c r="DS398" s="41"/>
      <c r="DT398" s="41"/>
      <c r="DU398" s="41"/>
      <c r="DV398" s="41"/>
      <c r="DW398" s="41"/>
      <c r="DX398" s="41"/>
    </row>
    <row r="399" spans="1:128" s="75" customFormat="1" ht="31.5" hidden="1" x14ac:dyDescent="0.25">
      <c r="A399" s="86">
        <v>44837</v>
      </c>
      <c r="B399" s="208" t="s">
        <v>797</v>
      </c>
      <c r="C399" s="172" t="s">
        <v>601</v>
      </c>
      <c r="D399" s="121" t="s">
        <v>798</v>
      </c>
      <c r="E399" s="173"/>
      <c r="F399" s="173">
        <v>4200</v>
      </c>
      <c r="G399" s="198">
        <f t="shared" si="11"/>
        <v>80890877.706750125</v>
      </c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 s="41"/>
      <c r="BZ399" s="41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/>
      <c r="DM399" s="41"/>
      <c r="DN399" s="41"/>
      <c r="DO399" s="41"/>
      <c r="DP399" s="41"/>
      <c r="DQ399" s="41"/>
      <c r="DR399" s="41"/>
      <c r="DS399" s="41"/>
      <c r="DT399" s="41"/>
      <c r="DU399" s="41"/>
      <c r="DV399" s="41"/>
      <c r="DW399" s="41"/>
      <c r="DX399" s="41"/>
    </row>
    <row r="400" spans="1:128" s="75" customFormat="1" ht="21.75" hidden="1" customHeight="1" x14ac:dyDescent="0.25">
      <c r="A400" s="86">
        <v>44837</v>
      </c>
      <c r="B400" s="208" t="s">
        <v>799</v>
      </c>
      <c r="C400" s="171" t="s">
        <v>800</v>
      </c>
      <c r="D400" s="172" t="s">
        <v>801</v>
      </c>
      <c r="E400" s="173"/>
      <c r="F400" s="173">
        <v>131100</v>
      </c>
      <c r="G400" s="198">
        <f t="shared" si="11"/>
        <v>80759777.706750125</v>
      </c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 s="41"/>
      <c r="BZ400" s="41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  <c r="DH400" s="41"/>
      <c r="DI400" s="41"/>
      <c r="DJ400" s="41"/>
      <c r="DK400" s="41"/>
      <c r="DL400" s="41"/>
      <c r="DM400" s="41"/>
      <c r="DN400" s="41"/>
      <c r="DO400" s="41"/>
      <c r="DP400" s="41"/>
      <c r="DQ400" s="41"/>
      <c r="DR400" s="41"/>
      <c r="DS400" s="41"/>
      <c r="DT400" s="41"/>
      <c r="DU400" s="41"/>
      <c r="DV400" s="41"/>
      <c r="DW400" s="41"/>
      <c r="DX400" s="41"/>
    </row>
    <row r="401" spans="1:128" s="75" customFormat="1" ht="19.5" hidden="1" customHeight="1" x14ac:dyDescent="0.25">
      <c r="A401" s="86">
        <v>44837</v>
      </c>
      <c r="B401" s="208" t="s">
        <v>802</v>
      </c>
      <c r="C401" s="171" t="s">
        <v>803</v>
      </c>
      <c r="D401" s="172" t="s">
        <v>804</v>
      </c>
      <c r="E401" s="173"/>
      <c r="F401" s="173">
        <v>833578.4</v>
      </c>
      <c r="G401" s="198">
        <f t="shared" si="11"/>
        <v>79926199.306750119</v>
      </c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 s="41"/>
      <c r="BZ401" s="41"/>
      <c r="CA401" s="41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1"/>
      <c r="CV401" s="41"/>
      <c r="CW401" s="41"/>
      <c r="CX401" s="41"/>
      <c r="CY401" s="41"/>
      <c r="CZ401" s="41"/>
      <c r="DA401" s="41"/>
      <c r="DB401" s="41"/>
      <c r="DC401" s="41"/>
      <c r="DD401" s="41"/>
      <c r="DE401" s="41"/>
      <c r="DF401" s="41"/>
      <c r="DG401" s="41"/>
      <c r="DH401" s="41"/>
      <c r="DI401" s="41"/>
      <c r="DJ401" s="41"/>
      <c r="DK401" s="41"/>
      <c r="DL401" s="41"/>
      <c r="DM401" s="41"/>
      <c r="DN401" s="41"/>
      <c r="DO401" s="41"/>
      <c r="DP401" s="41"/>
      <c r="DQ401" s="41"/>
      <c r="DR401" s="41"/>
      <c r="DS401" s="41"/>
      <c r="DT401" s="41"/>
      <c r="DU401" s="41"/>
      <c r="DV401" s="41"/>
      <c r="DW401" s="41"/>
      <c r="DX401" s="41"/>
    </row>
    <row r="402" spans="1:128" s="75" customFormat="1" ht="18" hidden="1" customHeight="1" x14ac:dyDescent="0.25">
      <c r="A402" s="86">
        <v>44837</v>
      </c>
      <c r="B402" s="208" t="s">
        <v>805</v>
      </c>
      <c r="C402" s="171" t="s">
        <v>806</v>
      </c>
      <c r="D402" s="172" t="s">
        <v>807</v>
      </c>
      <c r="E402" s="173"/>
      <c r="F402" s="173">
        <v>309122.8</v>
      </c>
      <c r="G402" s="198">
        <f t="shared" si="11"/>
        <v>79617076.506750122</v>
      </c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 s="41"/>
      <c r="BZ402" s="41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  <c r="DH402" s="41"/>
      <c r="DI402" s="41"/>
      <c r="DJ402" s="41"/>
      <c r="DK402" s="41"/>
      <c r="DL402" s="41"/>
      <c r="DM402" s="41"/>
      <c r="DN402" s="41"/>
      <c r="DO402" s="41"/>
      <c r="DP402" s="41"/>
      <c r="DQ402" s="41"/>
      <c r="DR402" s="41"/>
      <c r="DS402" s="41"/>
      <c r="DT402" s="41"/>
      <c r="DU402" s="41"/>
      <c r="DV402" s="41"/>
      <c r="DW402" s="41"/>
      <c r="DX402" s="41"/>
    </row>
    <row r="403" spans="1:128" s="75" customFormat="1" ht="31.5" hidden="1" x14ac:dyDescent="0.25">
      <c r="A403" s="86">
        <v>44837</v>
      </c>
      <c r="B403" s="208" t="s">
        <v>808</v>
      </c>
      <c r="C403" s="171" t="s">
        <v>809</v>
      </c>
      <c r="D403" s="172" t="s">
        <v>810</v>
      </c>
      <c r="E403" s="173"/>
      <c r="F403" s="173">
        <v>173560.54</v>
      </c>
      <c r="G403" s="198">
        <f t="shared" si="11"/>
        <v>79443515.966750115</v>
      </c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  <c r="BO403" s="41"/>
      <c r="BP403" s="41"/>
      <c r="BQ403" s="41"/>
      <c r="BR403" s="41"/>
      <c r="BS403" s="41"/>
      <c r="BT403" s="41"/>
      <c r="BU403" s="41"/>
      <c r="BV403" s="41"/>
      <c r="BW403" s="41"/>
      <c r="BX403" s="41"/>
      <c r="BY403" s="41"/>
      <c r="BZ403" s="41"/>
      <c r="CA403" s="41"/>
      <c r="CB403" s="41"/>
      <c r="CC403" s="41"/>
      <c r="CD403" s="41"/>
      <c r="CE403" s="41"/>
      <c r="CF403" s="41"/>
      <c r="CG403" s="41"/>
      <c r="CH403" s="41"/>
      <c r="CI403" s="41"/>
      <c r="CJ403" s="41"/>
      <c r="CK403" s="41"/>
      <c r="CL403" s="41"/>
      <c r="CM403" s="41"/>
      <c r="CN403" s="41"/>
      <c r="CO403" s="41"/>
      <c r="CP403" s="41"/>
      <c r="CQ403" s="41"/>
      <c r="CR403" s="41"/>
      <c r="CS403" s="41"/>
      <c r="CT403" s="41"/>
      <c r="CU403" s="41"/>
      <c r="CV403" s="41"/>
      <c r="CW403" s="41"/>
      <c r="CX403" s="41"/>
      <c r="CY403" s="41"/>
      <c r="CZ403" s="41"/>
      <c r="DA403" s="41"/>
      <c r="DB403" s="41"/>
      <c r="DC403" s="41"/>
      <c r="DD403" s="41"/>
      <c r="DE403" s="41"/>
      <c r="DF403" s="41"/>
      <c r="DG403" s="41"/>
      <c r="DH403" s="41"/>
      <c r="DI403" s="41"/>
      <c r="DJ403" s="41"/>
      <c r="DK403" s="41"/>
      <c r="DL403" s="41"/>
      <c r="DM403" s="41"/>
      <c r="DN403" s="41"/>
      <c r="DO403" s="41"/>
      <c r="DP403" s="41"/>
      <c r="DQ403" s="41"/>
      <c r="DR403" s="41"/>
      <c r="DS403" s="41"/>
      <c r="DT403" s="41"/>
      <c r="DU403" s="41"/>
      <c r="DV403" s="41"/>
      <c r="DW403" s="41"/>
      <c r="DX403" s="41"/>
    </row>
    <row r="404" spans="1:128" s="75" customFormat="1" ht="20.25" hidden="1" customHeight="1" x14ac:dyDescent="0.25">
      <c r="A404" s="86">
        <v>44837</v>
      </c>
      <c r="B404" s="207" t="s">
        <v>811</v>
      </c>
      <c r="C404" s="76" t="s">
        <v>812</v>
      </c>
      <c r="D404" s="85" t="s">
        <v>813</v>
      </c>
      <c r="E404" s="178"/>
      <c r="F404" s="178">
        <v>134174.20000000001</v>
      </c>
      <c r="G404" s="199">
        <f t="shared" si="11"/>
        <v>79309341.766750112</v>
      </c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  <c r="DH404" s="41"/>
      <c r="DI404" s="41"/>
      <c r="DJ404" s="41"/>
      <c r="DK404" s="41"/>
      <c r="DL404" s="41"/>
      <c r="DM404" s="41"/>
      <c r="DN404" s="41"/>
      <c r="DO404" s="41"/>
      <c r="DP404" s="41"/>
      <c r="DQ404" s="41"/>
      <c r="DR404" s="41"/>
      <c r="DS404" s="41"/>
      <c r="DT404" s="41"/>
      <c r="DU404" s="41"/>
      <c r="DV404" s="41"/>
      <c r="DW404" s="41"/>
      <c r="DX404" s="41"/>
    </row>
    <row r="405" spans="1:128" s="75" customFormat="1" ht="20.25" hidden="1" customHeight="1" x14ac:dyDescent="0.25">
      <c r="A405" s="86">
        <v>44868</v>
      </c>
      <c r="B405" s="87"/>
      <c r="C405" s="76" t="s">
        <v>13</v>
      </c>
      <c r="D405" s="85" t="s">
        <v>22</v>
      </c>
      <c r="E405" s="178">
        <f>42670</f>
        <v>42670</v>
      </c>
      <c r="F405" s="178"/>
      <c r="G405" s="198">
        <f t="shared" si="11"/>
        <v>79352011.766750112</v>
      </c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 s="41"/>
      <c r="BZ405" s="41"/>
      <c r="CA405" s="41"/>
      <c r="CB405" s="41"/>
      <c r="CC405" s="41"/>
      <c r="CD405" s="41"/>
      <c r="CE405" s="41"/>
      <c r="CF405" s="41"/>
      <c r="CG405" s="41"/>
      <c r="CH405" s="41"/>
      <c r="CI405" s="41"/>
      <c r="CJ405" s="41"/>
      <c r="CK405" s="41"/>
      <c r="CL405" s="41"/>
      <c r="CM405" s="41"/>
      <c r="CN405" s="41"/>
      <c r="CO405" s="41"/>
      <c r="CP405" s="41"/>
      <c r="CQ405" s="41"/>
      <c r="CR405" s="41"/>
      <c r="CS405" s="41"/>
      <c r="CT405" s="41"/>
      <c r="CU405" s="41"/>
      <c r="CV405" s="41"/>
      <c r="CW405" s="41"/>
      <c r="CX405" s="41"/>
      <c r="CY405" s="41"/>
      <c r="CZ405" s="41"/>
      <c r="DA405" s="41"/>
      <c r="DB405" s="41"/>
      <c r="DC405" s="41"/>
      <c r="DD405" s="41"/>
      <c r="DE405" s="41"/>
      <c r="DF405" s="41"/>
      <c r="DG405" s="41"/>
      <c r="DH405" s="41"/>
      <c r="DI405" s="41"/>
      <c r="DJ405" s="41"/>
      <c r="DK405" s="41"/>
      <c r="DL405" s="41"/>
      <c r="DM405" s="41"/>
      <c r="DN405" s="41"/>
      <c r="DO405" s="41"/>
      <c r="DP405" s="41"/>
      <c r="DQ405" s="41"/>
      <c r="DR405" s="41"/>
      <c r="DS405" s="41"/>
      <c r="DT405" s="41"/>
      <c r="DU405" s="41"/>
      <c r="DV405" s="41"/>
      <c r="DW405" s="41"/>
      <c r="DX405" s="41"/>
    </row>
    <row r="406" spans="1:128" s="75" customFormat="1" ht="20.25" hidden="1" customHeight="1" x14ac:dyDescent="0.25">
      <c r="A406" s="86">
        <v>44868</v>
      </c>
      <c r="B406" s="87"/>
      <c r="C406" s="76" t="s">
        <v>13</v>
      </c>
      <c r="D406" s="85" t="s">
        <v>48</v>
      </c>
      <c r="E406" s="178">
        <v>100</v>
      </c>
      <c r="F406" s="178">
        <f>E406*0.025</f>
        <v>2.5</v>
      </c>
      <c r="G406" s="198">
        <f t="shared" si="11"/>
        <v>79352109.266750112</v>
      </c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  <c r="DH406" s="41"/>
      <c r="DI406" s="41"/>
      <c r="DJ406" s="41"/>
      <c r="DK406" s="41"/>
      <c r="DL406" s="41"/>
      <c r="DM406" s="41"/>
      <c r="DN406" s="41"/>
      <c r="DO406" s="41"/>
      <c r="DP406" s="41"/>
      <c r="DQ406" s="41"/>
      <c r="DR406" s="41"/>
      <c r="DS406" s="41"/>
      <c r="DT406" s="41"/>
      <c r="DU406" s="41"/>
      <c r="DV406" s="41"/>
      <c r="DW406" s="41"/>
      <c r="DX406" s="41"/>
    </row>
    <row r="407" spans="1:128" s="75" customFormat="1" ht="20.25" hidden="1" customHeight="1" x14ac:dyDescent="0.25">
      <c r="A407" s="86">
        <v>44868</v>
      </c>
      <c r="B407" s="87"/>
      <c r="C407" s="76" t="s">
        <v>13</v>
      </c>
      <c r="D407" s="85" t="s">
        <v>48</v>
      </c>
      <c r="E407" s="178">
        <v>5340.4</v>
      </c>
      <c r="F407" s="178">
        <f>E407*0.025</f>
        <v>133.51</v>
      </c>
      <c r="G407" s="198">
        <f t="shared" si="11"/>
        <v>79357316.156750113</v>
      </c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/>
      <c r="DM407" s="41"/>
      <c r="DN407" s="41"/>
      <c r="DO407" s="41"/>
      <c r="DP407" s="41"/>
      <c r="DQ407" s="41"/>
      <c r="DR407" s="41"/>
      <c r="DS407" s="41"/>
      <c r="DT407" s="41"/>
      <c r="DU407" s="41"/>
      <c r="DV407" s="41"/>
      <c r="DW407" s="41"/>
      <c r="DX407" s="41"/>
    </row>
    <row r="408" spans="1:128" s="75" customFormat="1" ht="31.5" hidden="1" x14ac:dyDescent="0.25">
      <c r="A408" s="86">
        <v>44868</v>
      </c>
      <c r="B408" s="207" t="s">
        <v>823</v>
      </c>
      <c r="C408" s="76" t="s">
        <v>824</v>
      </c>
      <c r="D408" s="85" t="s">
        <v>825</v>
      </c>
      <c r="E408" s="178"/>
      <c r="F408" s="178">
        <v>83476.5</v>
      </c>
      <c r="G408" s="199">
        <f t="shared" si="11"/>
        <v>79273839.656750113</v>
      </c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 s="41"/>
      <c r="BZ408" s="41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41"/>
      <c r="DC408" s="41"/>
      <c r="DD408" s="41"/>
      <c r="DE408" s="41"/>
      <c r="DF408" s="41"/>
      <c r="DG408" s="41"/>
      <c r="DH408" s="41"/>
      <c r="DI408" s="41"/>
      <c r="DJ408" s="41"/>
      <c r="DK408" s="41"/>
      <c r="DL408" s="41"/>
      <c r="DM408" s="41"/>
      <c r="DN408" s="41"/>
      <c r="DO408" s="41"/>
      <c r="DP408" s="41"/>
      <c r="DQ408" s="41"/>
      <c r="DR408" s="41"/>
      <c r="DS408" s="41"/>
      <c r="DT408" s="41"/>
      <c r="DU408" s="41"/>
      <c r="DV408" s="41"/>
      <c r="DW408" s="41"/>
      <c r="DX408" s="41"/>
    </row>
    <row r="409" spans="1:128" s="75" customFormat="1" ht="31.5" hidden="1" x14ac:dyDescent="0.25">
      <c r="A409" s="86" t="s">
        <v>826</v>
      </c>
      <c r="B409" s="207" t="s">
        <v>827</v>
      </c>
      <c r="C409" s="76" t="s">
        <v>828</v>
      </c>
      <c r="D409" s="85" t="s">
        <v>829</v>
      </c>
      <c r="E409" s="178"/>
      <c r="F409" s="178">
        <v>856425</v>
      </c>
      <c r="G409" s="198">
        <f t="shared" si="11"/>
        <v>78417414.656750113</v>
      </c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  <c r="BO409" s="41"/>
      <c r="BP409" s="41"/>
      <c r="BQ409" s="41"/>
      <c r="BR409" s="41"/>
      <c r="BS409" s="41"/>
      <c r="BT409" s="41"/>
      <c r="BU409" s="41"/>
      <c r="BV409" s="41"/>
      <c r="BW409" s="41"/>
      <c r="BX409" s="41"/>
      <c r="BY409" s="41"/>
      <c r="BZ409" s="41"/>
      <c r="CA409" s="41"/>
      <c r="CB409" s="41"/>
      <c r="CC409" s="41"/>
      <c r="CD409" s="41"/>
      <c r="CE409" s="41"/>
      <c r="CF409" s="41"/>
      <c r="CG409" s="41"/>
      <c r="CH409" s="41"/>
      <c r="CI409" s="41"/>
      <c r="CJ409" s="41"/>
      <c r="CK409" s="41"/>
      <c r="CL409" s="41"/>
      <c r="CM409" s="41"/>
      <c r="CN409" s="41"/>
      <c r="CO409" s="41"/>
      <c r="CP409" s="41"/>
      <c r="CQ409" s="41"/>
      <c r="CR409" s="41"/>
      <c r="CS409" s="41"/>
      <c r="CT409" s="41"/>
      <c r="CU409" s="41"/>
      <c r="CV409" s="41"/>
      <c r="CW409" s="41"/>
      <c r="CX409" s="41"/>
      <c r="CY409" s="41"/>
      <c r="CZ409" s="41"/>
      <c r="DA409" s="41"/>
      <c r="DB409" s="41"/>
      <c r="DC409" s="41"/>
      <c r="DD409" s="41"/>
      <c r="DE409" s="41"/>
      <c r="DF409" s="41"/>
      <c r="DG409" s="41"/>
      <c r="DH409" s="41"/>
      <c r="DI409" s="41"/>
      <c r="DJ409" s="41"/>
      <c r="DK409" s="41"/>
      <c r="DL409" s="41"/>
      <c r="DM409" s="41"/>
      <c r="DN409" s="41"/>
      <c r="DO409" s="41"/>
      <c r="DP409" s="41"/>
      <c r="DQ409" s="41"/>
      <c r="DR409" s="41"/>
      <c r="DS409" s="41"/>
      <c r="DT409" s="41"/>
      <c r="DU409" s="41"/>
      <c r="DV409" s="41"/>
      <c r="DW409" s="41"/>
      <c r="DX409" s="41"/>
    </row>
    <row r="410" spans="1:128" s="75" customFormat="1" ht="15.75" hidden="1" x14ac:dyDescent="0.25">
      <c r="A410" s="86" t="s">
        <v>826</v>
      </c>
      <c r="B410" s="207" t="s">
        <v>830</v>
      </c>
      <c r="C410" s="76" t="s">
        <v>831</v>
      </c>
      <c r="D410" s="85" t="s">
        <v>832</v>
      </c>
      <c r="E410" s="178"/>
      <c r="F410" s="178">
        <v>64257.45</v>
      </c>
      <c r="G410" s="198">
        <f t="shared" si="11"/>
        <v>78353157.20675011</v>
      </c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/>
      <c r="CM410" s="41"/>
      <c r="CN410" s="41"/>
      <c r="CO410" s="41"/>
      <c r="CP410" s="41"/>
      <c r="CQ410" s="4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41"/>
      <c r="DC410" s="41"/>
      <c r="DD410" s="41"/>
      <c r="DE410" s="41"/>
      <c r="DF410" s="41"/>
      <c r="DG410" s="41"/>
      <c r="DH410" s="41"/>
      <c r="DI410" s="41"/>
      <c r="DJ410" s="41"/>
      <c r="DK410" s="41"/>
      <c r="DL410" s="41"/>
      <c r="DM410" s="41"/>
      <c r="DN410" s="41"/>
      <c r="DO410" s="41"/>
      <c r="DP410" s="41"/>
      <c r="DQ410" s="41"/>
      <c r="DR410" s="41"/>
      <c r="DS410" s="41"/>
      <c r="DT410" s="41"/>
      <c r="DU410" s="41"/>
      <c r="DV410" s="41"/>
      <c r="DW410" s="41"/>
      <c r="DX410" s="41"/>
    </row>
    <row r="411" spans="1:128" s="75" customFormat="1" ht="15.75" hidden="1" x14ac:dyDescent="0.25">
      <c r="A411" s="86" t="s">
        <v>826</v>
      </c>
      <c r="B411" s="87"/>
      <c r="C411" s="76" t="s">
        <v>13</v>
      </c>
      <c r="D411" s="85" t="s">
        <v>22</v>
      </c>
      <c r="E411" s="178">
        <f>21502</f>
        <v>21502</v>
      </c>
      <c r="F411" s="178"/>
      <c r="G411" s="198">
        <f t="shared" si="11"/>
        <v>78374659.20675011</v>
      </c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/>
      <c r="DI411" s="41"/>
      <c r="DJ411" s="41"/>
      <c r="DK411" s="41"/>
      <c r="DL411" s="41"/>
      <c r="DM411" s="41"/>
      <c r="DN411" s="41"/>
      <c r="DO411" s="41"/>
      <c r="DP411" s="41"/>
      <c r="DQ411" s="41"/>
      <c r="DR411" s="41"/>
      <c r="DS411" s="41"/>
      <c r="DT411" s="41"/>
      <c r="DU411" s="41"/>
      <c r="DV411" s="41"/>
      <c r="DW411" s="41"/>
      <c r="DX411" s="41"/>
    </row>
    <row r="412" spans="1:128" s="75" customFormat="1" ht="15.75" hidden="1" x14ac:dyDescent="0.25">
      <c r="A412" s="86" t="s">
        <v>826</v>
      </c>
      <c r="B412" s="87"/>
      <c r="C412" s="76" t="s">
        <v>13</v>
      </c>
      <c r="D412" s="85" t="s">
        <v>48</v>
      </c>
      <c r="E412" s="178">
        <f>400</f>
        <v>400</v>
      </c>
      <c r="F412" s="174">
        <f>E412*0.025</f>
        <v>10</v>
      </c>
      <c r="G412" s="198">
        <f t="shared" si="11"/>
        <v>78375049.20675011</v>
      </c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41"/>
      <c r="DC412" s="41"/>
      <c r="DD412" s="41"/>
      <c r="DE412" s="41"/>
      <c r="DF412" s="41"/>
      <c r="DG412" s="41"/>
      <c r="DH412" s="41"/>
      <c r="DI412" s="41"/>
      <c r="DJ412" s="41"/>
      <c r="DK412" s="41"/>
      <c r="DL412" s="41"/>
      <c r="DM412" s="41"/>
      <c r="DN412" s="41"/>
      <c r="DO412" s="41"/>
      <c r="DP412" s="41"/>
      <c r="DQ412" s="41"/>
      <c r="DR412" s="41"/>
      <c r="DS412" s="41"/>
      <c r="DT412" s="41"/>
      <c r="DU412" s="41"/>
      <c r="DV412" s="41"/>
      <c r="DW412" s="41"/>
      <c r="DX412" s="41"/>
    </row>
    <row r="413" spans="1:128" s="75" customFormat="1" ht="15.75" hidden="1" x14ac:dyDescent="0.25">
      <c r="A413" s="86" t="s">
        <v>826</v>
      </c>
      <c r="B413" s="87"/>
      <c r="C413" s="76" t="s">
        <v>13</v>
      </c>
      <c r="D413" s="85" t="s">
        <v>48</v>
      </c>
      <c r="E413" s="178">
        <v>830</v>
      </c>
      <c r="F413" s="174">
        <f>E413*0.025</f>
        <v>20.75</v>
      </c>
      <c r="G413" s="198">
        <f t="shared" si="11"/>
        <v>78375858.45675011</v>
      </c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  <c r="DH413" s="41"/>
      <c r="DI413" s="41"/>
      <c r="DJ413" s="41"/>
      <c r="DK413" s="41"/>
      <c r="DL413" s="41"/>
      <c r="DM413" s="41"/>
      <c r="DN413" s="41"/>
      <c r="DO413" s="41"/>
      <c r="DP413" s="41"/>
      <c r="DQ413" s="41"/>
      <c r="DR413" s="41"/>
      <c r="DS413" s="41"/>
      <c r="DT413" s="41"/>
      <c r="DU413" s="41"/>
      <c r="DV413" s="41"/>
      <c r="DW413" s="41"/>
      <c r="DX413" s="41"/>
    </row>
    <row r="414" spans="1:128" s="75" customFormat="1" ht="15.75" hidden="1" x14ac:dyDescent="0.25">
      <c r="A414" s="86" t="s">
        <v>826</v>
      </c>
      <c r="B414" s="87"/>
      <c r="C414" s="76" t="s">
        <v>13</v>
      </c>
      <c r="D414" s="85" t="s">
        <v>48</v>
      </c>
      <c r="E414" s="178">
        <v>100</v>
      </c>
      <c r="F414" s="174">
        <f>E414*0.025</f>
        <v>2.5</v>
      </c>
      <c r="G414" s="198">
        <f t="shared" si="11"/>
        <v>78375955.95675011</v>
      </c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 s="41"/>
      <c r="BZ414" s="41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41"/>
      <c r="DC414" s="41"/>
      <c r="DD414" s="41"/>
      <c r="DE414" s="41"/>
      <c r="DF414" s="41"/>
      <c r="DG414" s="41"/>
      <c r="DH414" s="41"/>
      <c r="DI414" s="41"/>
      <c r="DJ414" s="41"/>
      <c r="DK414" s="41"/>
      <c r="DL414" s="41"/>
      <c r="DM414" s="41"/>
      <c r="DN414" s="41"/>
      <c r="DO414" s="41"/>
      <c r="DP414" s="41"/>
      <c r="DQ414" s="41"/>
      <c r="DR414" s="41"/>
      <c r="DS414" s="41"/>
      <c r="DT414" s="41"/>
      <c r="DU414" s="41"/>
      <c r="DV414" s="41"/>
      <c r="DW414" s="41"/>
      <c r="DX414" s="41"/>
    </row>
    <row r="415" spans="1:128" s="75" customFormat="1" ht="15.75" hidden="1" x14ac:dyDescent="0.25">
      <c r="A415" s="86" t="s">
        <v>826</v>
      </c>
      <c r="B415" s="87"/>
      <c r="C415" s="76" t="s">
        <v>13</v>
      </c>
      <c r="D415" s="85" t="s">
        <v>48</v>
      </c>
      <c r="E415" s="178">
        <v>490</v>
      </c>
      <c r="F415" s="174">
        <f>E415*0.025</f>
        <v>12.25</v>
      </c>
      <c r="G415" s="199">
        <f t="shared" si="11"/>
        <v>78376433.70675011</v>
      </c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/>
      <c r="DM415" s="41"/>
      <c r="DN415" s="41"/>
      <c r="DO415" s="41"/>
      <c r="DP415" s="41"/>
      <c r="DQ415" s="41"/>
      <c r="DR415" s="41"/>
      <c r="DS415" s="41"/>
      <c r="DT415" s="41"/>
      <c r="DU415" s="41"/>
      <c r="DV415" s="41"/>
      <c r="DW415" s="41"/>
      <c r="DX415" s="41"/>
    </row>
    <row r="416" spans="1:128" s="75" customFormat="1" ht="15.75" hidden="1" x14ac:dyDescent="0.25">
      <c r="A416" s="86" t="s">
        <v>833</v>
      </c>
      <c r="B416" s="87"/>
      <c r="C416" s="76" t="s">
        <v>13</v>
      </c>
      <c r="D416" s="85" t="s">
        <v>22</v>
      </c>
      <c r="E416" s="178">
        <f>36976</f>
        <v>36976</v>
      </c>
      <c r="F416" s="174"/>
      <c r="G416" s="198">
        <f t="shared" si="11"/>
        <v>78413409.70675011</v>
      </c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 s="41"/>
      <c r="BZ416" s="41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1"/>
      <c r="CO416" s="41"/>
      <c r="CP416" s="41"/>
      <c r="CQ416" s="41"/>
      <c r="CR416" s="41"/>
      <c r="CS416" s="41"/>
      <c r="CT416" s="41"/>
      <c r="CU416" s="41"/>
      <c r="CV416" s="41"/>
      <c r="CW416" s="41"/>
      <c r="CX416" s="41"/>
      <c r="CY416" s="41"/>
      <c r="CZ416" s="41"/>
      <c r="DA416" s="41"/>
      <c r="DB416" s="41"/>
      <c r="DC416" s="41"/>
      <c r="DD416" s="41"/>
      <c r="DE416" s="41"/>
      <c r="DF416" s="41"/>
      <c r="DG416" s="41"/>
      <c r="DH416" s="41"/>
      <c r="DI416" s="41"/>
      <c r="DJ416" s="41"/>
      <c r="DK416" s="41"/>
      <c r="DL416" s="41"/>
      <c r="DM416" s="41"/>
      <c r="DN416" s="41"/>
      <c r="DO416" s="41"/>
      <c r="DP416" s="41"/>
      <c r="DQ416" s="41"/>
      <c r="DR416" s="41"/>
      <c r="DS416" s="41"/>
      <c r="DT416" s="41"/>
      <c r="DU416" s="41"/>
      <c r="DV416" s="41"/>
      <c r="DW416" s="41"/>
      <c r="DX416" s="41"/>
    </row>
    <row r="417" spans="1:128" s="75" customFormat="1" ht="15.75" hidden="1" x14ac:dyDescent="0.25">
      <c r="A417" s="86" t="s">
        <v>833</v>
      </c>
      <c r="B417" s="87"/>
      <c r="C417" s="76" t="s">
        <v>13</v>
      </c>
      <c r="D417" s="85" t="s">
        <v>48</v>
      </c>
      <c r="E417" s="178">
        <v>4000</v>
      </c>
      <c r="F417" s="174">
        <f>E417*0.025</f>
        <v>100</v>
      </c>
      <c r="G417" s="198">
        <f t="shared" si="11"/>
        <v>78417309.70675011</v>
      </c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1"/>
      <c r="CV417" s="41"/>
      <c r="CW417" s="41"/>
      <c r="CX417" s="41"/>
      <c r="CY417" s="41"/>
      <c r="CZ417" s="41"/>
      <c r="DA417" s="41"/>
      <c r="DB417" s="41"/>
      <c r="DC417" s="41"/>
      <c r="DD417" s="41"/>
      <c r="DE417" s="41"/>
      <c r="DF417" s="41"/>
      <c r="DG417" s="41"/>
      <c r="DH417" s="41"/>
      <c r="DI417" s="41"/>
      <c r="DJ417" s="41"/>
      <c r="DK417" s="41"/>
      <c r="DL417" s="41"/>
      <c r="DM417" s="41"/>
      <c r="DN417" s="41"/>
      <c r="DO417" s="41"/>
      <c r="DP417" s="41"/>
      <c r="DQ417" s="41"/>
      <c r="DR417" s="41"/>
      <c r="DS417" s="41"/>
      <c r="DT417" s="41"/>
      <c r="DU417" s="41"/>
      <c r="DV417" s="41"/>
      <c r="DW417" s="41"/>
      <c r="DX417" s="41"/>
    </row>
    <row r="418" spans="1:128" s="75" customFormat="1" ht="31.5" hidden="1" x14ac:dyDescent="0.25">
      <c r="A418" s="86" t="s">
        <v>833</v>
      </c>
      <c r="B418" s="87"/>
      <c r="C418" s="76" t="s">
        <v>44</v>
      </c>
      <c r="D418" s="85" t="s">
        <v>859</v>
      </c>
      <c r="E418" s="178">
        <v>452628.22</v>
      </c>
      <c r="F418" s="174"/>
      <c r="G418" s="198">
        <f t="shared" si="11"/>
        <v>78869937.926750109</v>
      </c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  <c r="BO418" s="41"/>
      <c r="BP418" s="41"/>
      <c r="BQ418" s="41"/>
      <c r="BR418" s="41"/>
      <c r="BS418" s="41"/>
      <c r="BT418" s="41"/>
      <c r="BU418" s="41"/>
      <c r="BV418" s="41"/>
      <c r="BW418" s="41"/>
      <c r="BX418" s="41"/>
      <c r="BY418" s="41"/>
      <c r="BZ418" s="41"/>
      <c r="CA418" s="41"/>
      <c r="CB418" s="41"/>
      <c r="CC418" s="41"/>
      <c r="CD418" s="41"/>
      <c r="CE418" s="41"/>
      <c r="CF418" s="41"/>
      <c r="CG418" s="41"/>
      <c r="CH418" s="41"/>
      <c r="CI418" s="41"/>
      <c r="CJ418" s="41"/>
      <c r="CK418" s="41"/>
      <c r="CL418" s="41"/>
      <c r="CM418" s="41"/>
      <c r="CN418" s="41"/>
      <c r="CO418" s="41"/>
      <c r="CP418" s="41"/>
      <c r="CQ418" s="41"/>
      <c r="CR418" s="41"/>
      <c r="CS418" s="41"/>
      <c r="CT418" s="41"/>
      <c r="CU418" s="41"/>
      <c r="CV418" s="41"/>
      <c r="CW418" s="41"/>
      <c r="CX418" s="41"/>
      <c r="CY418" s="41"/>
      <c r="CZ418" s="41"/>
      <c r="DA418" s="41"/>
      <c r="DB418" s="41"/>
      <c r="DC418" s="41"/>
      <c r="DD418" s="41"/>
      <c r="DE418" s="41"/>
      <c r="DF418" s="41"/>
      <c r="DG418" s="41"/>
      <c r="DH418" s="41"/>
      <c r="DI418" s="41"/>
      <c r="DJ418" s="41"/>
      <c r="DK418" s="41"/>
      <c r="DL418" s="41"/>
      <c r="DM418" s="41"/>
      <c r="DN418" s="41"/>
      <c r="DO418" s="41"/>
      <c r="DP418" s="41"/>
      <c r="DQ418" s="41"/>
      <c r="DR418" s="41"/>
      <c r="DS418" s="41"/>
      <c r="DT418" s="41"/>
      <c r="DU418" s="41"/>
      <c r="DV418" s="41"/>
      <c r="DW418" s="41"/>
      <c r="DX418" s="41"/>
    </row>
    <row r="419" spans="1:128" s="75" customFormat="1" ht="31.5" hidden="1" x14ac:dyDescent="0.25">
      <c r="A419" s="86" t="s">
        <v>833</v>
      </c>
      <c r="B419" s="207" t="s">
        <v>836</v>
      </c>
      <c r="C419" s="85" t="s">
        <v>837</v>
      </c>
      <c r="D419" s="85" t="s">
        <v>838</v>
      </c>
      <c r="E419" s="178"/>
      <c r="F419" s="174">
        <v>1496251.15</v>
      </c>
      <c r="G419" s="198">
        <f t="shared" si="11"/>
        <v>77373686.776750103</v>
      </c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  <c r="BO419" s="41"/>
      <c r="BP419" s="41"/>
      <c r="BQ419" s="41"/>
      <c r="BR419" s="41"/>
      <c r="BS419" s="41"/>
      <c r="BT419" s="41"/>
      <c r="BU419" s="41"/>
      <c r="BV419" s="41"/>
      <c r="BW419" s="41"/>
      <c r="BX419" s="41"/>
      <c r="BY419" s="41"/>
      <c r="BZ419" s="41"/>
      <c r="CA419" s="41"/>
      <c r="CB419" s="41"/>
      <c r="CC419" s="41"/>
      <c r="CD419" s="41"/>
      <c r="CE419" s="41"/>
      <c r="CF419" s="41"/>
      <c r="CG419" s="41"/>
      <c r="CH419" s="41"/>
      <c r="CI419" s="41"/>
      <c r="CJ419" s="41"/>
      <c r="CK419" s="41"/>
      <c r="CL419" s="41"/>
      <c r="CM419" s="41"/>
      <c r="CN419" s="41"/>
      <c r="CO419" s="41"/>
      <c r="CP419" s="41"/>
      <c r="CQ419" s="41"/>
      <c r="CR419" s="41"/>
      <c r="CS419" s="41"/>
      <c r="CT419" s="41"/>
      <c r="CU419" s="41"/>
      <c r="CV419" s="41"/>
      <c r="CW419" s="41"/>
      <c r="CX419" s="41"/>
      <c r="CY419" s="41"/>
      <c r="CZ419" s="41"/>
      <c r="DA419" s="41"/>
      <c r="DB419" s="41"/>
      <c r="DC419" s="41"/>
      <c r="DD419" s="41"/>
      <c r="DE419" s="41"/>
      <c r="DF419" s="41"/>
      <c r="DG419" s="41"/>
      <c r="DH419" s="41"/>
      <c r="DI419" s="41"/>
      <c r="DJ419" s="41"/>
      <c r="DK419" s="41"/>
      <c r="DL419" s="41"/>
      <c r="DM419" s="41"/>
      <c r="DN419" s="41"/>
      <c r="DO419" s="41"/>
      <c r="DP419" s="41"/>
      <c r="DQ419" s="41"/>
      <c r="DR419" s="41"/>
      <c r="DS419" s="41"/>
      <c r="DT419" s="41"/>
      <c r="DU419" s="41"/>
      <c r="DV419" s="41"/>
      <c r="DW419" s="41"/>
      <c r="DX419" s="41"/>
    </row>
    <row r="420" spans="1:128" s="75" customFormat="1" ht="31.5" hidden="1" x14ac:dyDescent="0.25">
      <c r="A420" s="86" t="s">
        <v>833</v>
      </c>
      <c r="B420" s="207" t="s">
        <v>839</v>
      </c>
      <c r="C420" s="76" t="s">
        <v>840</v>
      </c>
      <c r="D420" s="85" t="s">
        <v>841</v>
      </c>
      <c r="E420" s="178"/>
      <c r="F420" s="174">
        <v>251825.35</v>
      </c>
      <c r="G420" s="198">
        <f t="shared" si="11"/>
        <v>77121861.426750109</v>
      </c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1"/>
      <c r="BM420" s="41"/>
      <c r="BN420" s="41"/>
      <c r="BO420" s="41"/>
      <c r="BP420" s="41"/>
      <c r="BQ420" s="41"/>
      <c r="BR420" s="41"/>
      <c r="BS420" s="41"/>
      <c r="BT420" s="41"/>
      <c r="BU420" s="41"/>
      <c r="BV420" s="41"/>
      <c r="BW420" s="41"/>
      <c r="BX420" s="41"/>
      <c r="BY420" s="41"/>
      <c r="BZ420" s="41"/>
      <c r="CA420" s="41"/>
      <c r="CB420" s="41"/>
      <c r="CC420" s="41"/>
      <c r="CD420" s="41"/>
      <c r="CE420" s="41"/>
      <c r="CF420" s="41"/>
      <c r="CG420" s="41"/>
      <c r="CH420" s="41"/>
      <c r="CI420" s="41"/>
      <c r="CJ420" s="41"/>
      <c r="CK420" s="41"/>
      <c r="CL420" s="41"/>
      <c r="CM420" s="41"/>
      <c r="CN420" s="41"/>
      <c r="CO420" s="41"/>
      <c r="CP420" s="41"/>
      <c r="CQ420" s="41"/>
      <c r="CR420" s="41"/>
      <c r="CS420" s="41"/>
      <c r="CT420" s="41"/>
      <c r="CU420" s="41"/>
      <c r="CV420" s="41"/>
      <c r="CW420" s="41"/>
      <c r="CX420" s="41"/>
      <c r="CY420" s="41"/>
      <c r="CZ420" s="41"/>
      <c r="DA420" s="41"/>
      <c r="DB420" s="41"/>
      <c r="DC420" s="41"/>
      <c r="DD420" s="41"/>
      <c r="DE420" s="41"/>
      <c r="DF420" s="41"/>
      <c r="DG420" s="41"/>
      <c r="DH420" s="41"/>
      <c r="DI420" s="41"/>
      <c r="DJ420" s="41"/>
      <c r="DK420" s="41"/>
      <c r="DL420" s="41"/>
      <c r="DM420" s="41"/>
      <c r="DN420" s="41"/>
      <c r="DO420" s="41"/>
      <c r="DP420" s="41"/>
      <c r="DQ420" s="41"/>
      <c r="DR420" s="41"/>
      <c r="DS420" s="41"/>
      <c r="DT420" s="41"/>
      <c r="DU420" s="41"/>
      <c r="DV420" s="41"/>
      <c r="DW420" s="41"/>
      <c r="DX420" s="41"/>
    </row>
    <row r="421" spans="1:128" s="75" customFormat="1" ht="31.5" hidden="1" x14ac:dyDescent="0.25">
      <c r="A421" s="86" t="s">
        <v>833</v>
      </c>
      <c r="B421" s="207" t="s">
        <v>842</v>
      </c>
      <c r="C421" s="76" t="s">
        <v>736</v>
      </c>
      <c r="D421" s="85" t="s">
        <v>843</v>
      </c>
      <c r="E421" s="178"/>
      <c r="F421" s="174">
        <v>693469.09</v>
      </c>
      <c r="G421" s="199">
        <f t="shared" si="11"/>
        <v>76428392.336750105</v>
      </c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  <c r="BO421" s="41"/>
      <c r="BP421" s="41"/>
      <c r="BQ421" s="41"/>
      <c r="BR421" s="41"/>
      <c r="BS421" s="41"/>
      <c r="BT421" s="41"/>
      <c r="BU421" s="41"/>
      <c r="BV421" s="41"/>
      <c r="BW421" s="41"/>
      <c r="BX421" s="41"/>
      <c r="BY421" s="41"/>
      <c r="BZ421" s="41"/>
      <c r="CA421" s="41"/>
      <c r="CB421" s="41"/>
      <c r="CC421" s="41"/>
      <c r="CD421" s="41"/>
      <c r="CE421" s="41"/>
      <c r="CF421" s="41"/>
      <c r="CG421" s="41"/>
      <c r="CH421" s="41"/>
      <c r="CI421" s="41"/>
      <c r="CJ421" s="41"/>
      <c r="CK421" s="41"/>
      <c r="CL421" s="41"/>
      <c r="CM421" s="41"/>
      <c r="CN421" s="41"/>
      <c r="CO421" s="41"/>
      <c r="CP421" s="41"/>
      <c r="CQ421" s="41"/>
      <c r="CR421" s="41"/>
      <c r="CS421" s="41"/>
      <c r="CT421" s="41"/>
      <c r="CU421" s="41"/>
      <c r="CV421" s="41"/>
      <c r="CW421" s="41"/>
      <c r="CX421" s="41"/>
      <c r="CY421" s="41"/>
      <c r="CZ421" s="41"/>
      <c r="DA421" s="41"/>
      <c r="DB421" s="41"/>
      <c r="DC421" s="41"/>
      <c r="DD421" s="41"/>
      <c r="DE421" s="41"/>
      <c r="DF421" s="41"/>
      <c r="DG421" s="41"/>
      <c r="DH421" s="41"/>
      <c r="DI421" s="41"/>
      <c r="DJ421" s="41"/>
      <c r="DK421" s="41"/>
      <c r="DL421" s="41"/>
      <c r="DM421" s="41"/>
      <c r="DN421" s="41"/>
      <c r="DO421" s="41"/>
      <c r="DP421" s="41"/>
      <c r="DQ421" s="41"/>
      <c r="DR421" s="41"/>
      <c r="DS421" s="41"/>
      <c r="DT421" s="41"/>
      <c r="DU421" s="41"/>
      <c r="DV421" s="41"/>
      <c r="DW421" s="41"/>
      <c r="DX421" s="41"/>
    </row>
    <row r="422" spans="1:128" s="75" customFormat="1" ht="15.75" hidden="1" x14ac:dyDescent="0.25">
      <c r="A422" s="86" t="s">
        <v>861</v>
      </c>
      <c r="B422" s="87"/>
      <c r="C422" s="76" t="s">
        <v>13</v>
      </c>
      <c r="D422" s="85" t="s">
        <v>22</v>
      </c>
      <c r="E422" s="178">
        <v>44391</v>
      </c>
      <c r="F422" s="174"/>
      <c r="G422" s="198">
        <f t="shared" si="11"/>
        <v>76472783.336750105</v>
      </c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  <c r="BO422" s="41"/>
      <c r="BP422" s="41"/>
      <c r="BQ422" s="41"/>
      <c r="BR422" s="41"/>
      <c r="BS422" s="41"/>
      <c r="BT422" s="41"/>
      <c r="BU422" s="41"/>
      <c r="BV422" s="41"/>
      <c r="BW422" s="41"/>
      <c r="BX422" s="41"/>
      <c r="BY422" s="41"/>
      <c r="BZ422" s="41"/>
      <c r="CA422" s="41"/>
      <c r="CB422" s="41"/>
      <c r="CC422" s="41"/>
      <c r="CD422" s="41"/>
      <c r="CE422" s="41"/>
      <c r="CF422" s="41"/>
      <c r="CG422" s="41"/>
      <c r="CH422" s="41"/>
      <c r="CI422" s="41"/>
      <c r="CJ422" s="41"/>
      <c r="CK422" s="41"/>
      <c r="CL422" s="41"/>
      <c r="CM422" s="41"/>
      <c r="CN422" s="41"/>
      <c r="CO422" s="41"/>
      <c r="CP422" s="41"/>
      <c r="CQ422" s="41"/>
      <c r="CR422" s="41"/>
      <c r="CS422" s="41"/>
      <c r="CT422" s="41"/>
      <c r="CU422" s="41"/>
      <c r="CV422" s="41"/>
      <c r="CW422" s="41"/>
      <c r="CX422" s="41"/>
      <c r="CY422" s="41"/>
      <c r="CZ422" s="41"/>
      <c r="DA422" s="41"/>
      <c r="DB422" s="41"/>
      <c r="DC422" s="41"/>
      <c r="DD422" s="41"/>
      <c r="DE422" s="41"/>
      <c r="DF422" s="41"/>
      <c r="DG422" s="41"/>
      <c r="DH422" s="41"/>
      <c r="DI422" s="41"/>
      <c r="DJ422" s="41"/>
      <c r="DK422" s="41"/>
      <c r="DL422" s="41"/>
      <c r="DM422" s="41"/>
      <c r="DN422" s="41"/>
      <c r="DO422" s="41"/>
      <c r="DP422" s="41"/>
      <c r="DQ422" s="41"/>
      <c r="DR422" s="41"/>
      <c r="DS422" s="41"/>
      <c r="DT422" s="41"/>
      <c r="DU422" s="41"/>
      <c r="DV422" s="41"/>
      <c r="DW422" s="41"/>
      <c r="DX422" s="41"/>
    </row>
    <row r="423" spans="1:128" s="75" customFormat="1" ht="15.75" hidden="1" x14ac:dyDescent="0.25">
      <c r="A423" s="86" t="s">
        <v>861</v>
      </c>
      <c r="B423" s="87"/>
      <c r="C423" s="76" t="s">
        <v>13</v>
      </c>
      <c r="D423" s="85" t="s">
        <v>48</v>
      </c>
      <c r="E423" s="178">
        <f>570</f>
        <v>570</v>
      </c>
      <c r="F423" s="178">
        <f>E423*0.025</f>
        <v>14.25</v>
      </c>
      <c r="G423" s="198">
        <f t="shared" si="11"/>
        <v>76473339.086750105</v>
      </c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  <c r="BJ423" s="41"/>
      <c r="BK423" s="41"/>
      <c r="BL423" s="41"/>
      <c r="BM423" s="41"/>
      <c r="BN423" s="41"/>
      <c r="BO423" s="41"/>
      <c r="BP423" s="41"/>
      <c r="BQ423" s="41"/>
      <c r="BR423" s="41"/>
      <c r="BS423" s="41"/>
      <c r="BT423" s="41"/>
      <c r="BU423" s="41"/>
      <c r="BV423" s="41"/>
      <c r="BW423" s="41"/>
      <c r="BX423" s="41"/>
      <c r="BY423" s="41"/>
      <c r="BZ423" s="41"/>
      <c r="CA423" s="41"/>
      <c r="CB423" s="41"/>
      <c r="CC423" s="41"/>
      <c r="CD423" s="41"/>
      <c r="CE423" s="41"/>
      <c r="CF423" s="41"/>
      <c r="CG423" s="41"/>
      <c r="CH423" s="41"/>
      <c r="CI423" s="41"/>
      <c r="CJ423" s="41"/>
      <c r="CK423" s="41"/>
      <c r="CL423" s="41"/>
      <c r="CM423" s="41"/>
      <c r="CN423" s="41"/>
      <c r="CO423" s="41"/>
      <c r="CP423" s="41"/>
      <c r="CQ423" s="41"/>
      <c r="CR423" s="41"/>
      <c r="CS423" s="41"/>
      <c r="CT423" s="41"/>
      <c r="CU423" s="41"/>
      <c r="CV423" s="41"/>
      <c r="CW423" s="41"/>
      <c r="CX423" s="41"/>
      <c r="CY423" s="41"/>
      <c r="CZ423" s="41"/>
      <c r="DA423" s="41"/>
      <c r="DB423" s="41"/>
      <c r="DC423" s="41"/>
      <c r="DD423" s="41"/>
      <c r="DE423" s="41"/>
      <c r="DF423" s="41"/>
      <c r="DG423" s="41"/>
      <c r="DH423" s="41"/>
      <c r="DI423" s="41"/>
      <c r="DJ423" s="41"/>
      <c r="DK423" s="41"/>
      <c r="DL423" s="41"/>
      <c r="DM423" s="41"/>
      <c r="DN423" s="41"/>
      <c r="DO423" s="41"/>
      <c r="DP423" s="41"/>
      <c r="DQ423" s="41"/>
      <c r="DR423" s="41"/>
      <c r="DS423" s="41"/>
      <c r="DT423" s="41"/>
      <c r="DU423" s="41"/>
      <c r="DV423" s="41"/>
      <c r="DW423" s="41"/>
      <c r="DX423" s="41"/>
    </row>
    <row r="424" spans="1:128" s="75" customFormat="1" ht="15.75" hidden="1" x14ac:dyDescent="0.25">
      <c r="A424" s="86" t="s">
        <v>861</v>
      </c>
      <c r="B424" s="87"/>
      <c r="C424" s="76" t="s">
        <v>13</v>
      </c>
      <c r="D424" s="85" t="s">
        <v>48</v>
      </c>
      <c r="E424" s="178">
        <v>672</v>
      </c>
      <c r="F424" s="178">
        <f>E424*0.025</f>
        <v>16.8</v>
      </c>
      <c r="G424" s="198">
        <f t="shared" si="11"/>
        <v>76473994.286750108</v>
      </c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  <c r="BJ424" s="41"/>
      <c r="BK424" s="41"/>
      <c r="BL424" s="41"/>
      <c r="BM424" s="41"/>
      <c r="BN424" s="41"/>
      <c r="BO424" s="41"/>
      <c r="BP424" s="41"/>
      <c r="BQ424" s="41"/>
      <c r="BR424" s="41"/>
      <c r="BS424" s="41"/>
      <c r="BT424" s="41"/>
      <c r="BU424" s="41"/>
      <c r="BV424" s="41"/>
      <c r="BW424" s="41"/>
      <c r="BX424" s="41"/>
      <c r="BY424" s="41"/>
      <c r="BZ424" s="41"/>
      <c r="CA424" s="41"/>
      <c r="CB424" s="41"/>
      <c r="CC424" s="41"/>
      <c r="CD424" s="41"/>
      <c r="CE424" s="41"/>
      <c r="CF424" s="41"/>
      <c r="CG424" s="41"/>
      <c r="CH424" s="41"/>
      <c r="CI424" s="41"/>
      <c r="CJ424" s="41"/>
      <c r="CK424" s="41"/>
      <c r="CL424" s="41"/>
      <c r="CM424" s="41"/>
      <c r="CN424" s="41"/>
      <c r="CO424" s="41"/>
      <c r="CP424" s="41"/>
      <c r="CQ424" s="41"/>
      <c r="CR424" s="41"/>
      <c r="CS424" s="41"/>
      <c r="CT424" s="41"/>
      <c r="CU424" s="41"/>
      <c r="CV424" s="41"/>
      <c r="CW424" s="41"/>
      <c r="CX424" s="41"/>
      <c r="CY424" s="41"/>
      <c r="CZ424" s="41"/>
      <c r="DA424" s="41"/>
      <c r="DB424" s="41"/>
      <c r="DC424" s="41"/>
      <c r="DD424" s="41"/>
      <c r="DE424" s="41"/>
      <c r="DF424" s="41"/>
      <c r="DG424" s="41"/>
      <c r="DH424" s="41"/>
      <c r="DI424" s="41"/>
      <c r="DJ424" s="41"/>
      <c r="DK424" s="41"/>
      <c r="DL424" s="41"/>
      <c r="DM424" s="41"/>
      <c r="DN424" s="41"/>
      <c r="DO424" s="41"/>
      <c r="DP424" s="41"/>
      <c r="DQ424" s="41"/>
      <c r="DR424" s="41"/>
      <c r="DS424" s="41"/>
      <c r="DT424" s="41"/>
      <c r="DU424" s="41"/>
      <c r="DV424" s="41"/>
      <c r="DW424" s="41"/>
      <c r="DX424" s="41"/>
    </row>
    <row r="425" spans="1:128" s="75" customFormat="1" ht="15.75" hidden="1" x14ac:dyDescent="0.25">
      <c r="A425" s="86" t="s">
        <v>861</v>
      </c>
      <c r="B425" s="87"/>
      <c r="C425" s="76" t="s">
        <v>13</v>
      </c>
      <c r="D425" s="85" t="s">
        <v>48</v>
      </c>
      <c r="E425" s="178">
        <v>976.1</v>
      </c>
      <c r="F425" s="178">
        <f>E425*0.025</f>
        <v>24.402500000000003</v>
      </c>
      <c r="G425" s="198">
        <f t="shared" si="11"/>
        <v>76474945.984250098</v>
      </c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41"/>
      <c r="BG425" s="41"/>
      <c r="BH425" s="41"/>
      <c r="BI425" s="41"/>
      <c r="BJ425" s="41"/>
      <c r="BK425" s="41"/>
      <c r="BL425" s="41"/>
      <c r="BM425" s="41"/>
      <c r="BN425" s="41"/>
      <c r="BO425" s="41"/>
      <c r="BP425" s="41"/>
      <c r="BQ425" s="41"/>
      <c r="BR425" s="41"/>
      <c r="BS425" s="41"/>
      <c r="BT425" s="41"/>
      <c r="BU425" s="41"/>
      <c r="BV425" s="41"/>
      <c r="BW425" s="41"/>
      <c r="BX425" s="41"/>
      <c r="BY425" s="41"/>
      <c r="BZ425" s="41"/>
      <c r="CA425" s="41"/>
      <c r="CB425" s="41"/>
      <c r="CC425" s="41"/>
      <c r="CD425" s="41"/>
      <c r="CE425" s="41"/>
      <c r="CF425" s="41"/>
      <c r="CG425" s="41"/>
      <c r="CH425" s="41"/>
      <c r="CI425" s="41"/>
      <c r="CJ425" s="41"/>
      <c r="CK425" s="41"/>
      <c r="CL425" s="41"/>
      <c r="CM425" s="41"/>
      <c r="CN425" s="41"/>
      <c r="CO425" s="41"/>
      <c r="CP425" s="41"/>
      <c r="CQ425" s="41"/>
      <c r="CR425" s="41"/>
      <c r="CS425" s="41"/>
      <c r="CT425" s="41"/>
      <c r="CU425" s="41"/>
      <c r="CV425" s="41"/>
      <c r="CW425" s="41"/>
      <c r="CX425" s="41"/>
      <c r="CY425" s="41"/>
      <c r="CZ425" s="41"/>
      <c r="DA425" s="41"/>
      <c r="DB425" s="41"/>
      <c r="DC425" s="41"/>
      <c r="DD425" s="41"/>
      <c r="DE425" s="41"/>
      <c r="DF425" s="41"/>
      <c r="DG425" s="41"/>
      <c r="DH425" s="41"/>
      <c r="DI425" s="41"/>
      <c r="DJ425" s="41"/>
      <c r="DK425" s="41"/>
      <c r="DL425" s="41"/>
      <c r="DM425" s="41"/>
      <c r="DN425" s="41"/>
      <c r="DO425" s="41"/>
      <c r="DP425" s="41"/>
      <c r="DQ425" s="41"/>
      <c r="DR425" s="41"/>
      <c r="DS425" s="41"/>
      <c r="DT425" s="41"/>
      <c r="DU425" s="41"/>
      <c r="DV425" s="41"/>
      <c r="DW425" s="41"/>
      <c r="DX425" s="41"/>
    </row>
    <row r="426" spans="1:128" s="75" customFormat="1" ht="31.5" hidden="1" x14ac:dyDescent="0.25">
      <c r="A426" s="86" t="s">
        <v>861</v>
      </c>
      <c r="B426" s="87"/>
      <c r="C426" s="76" t="s">
        <v>44</v>
      </c>
      <c r="D426" s="85" t="s">
        <v>860</v>
      </c>
      <c r="E426" s="178">
        <v>1058009</v>
      </c>
      <c r="F426" s="174"/>
      <c r="G426" s="198">
        <f t="shared" si="11"/>
        <v>77532954.984250098</v>
      </c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  <c r="BO426" s="41"/>
      <c r="BP426" s="41"/>
      <c r="BQ426" s="41"/>
      <c r="BR426" s="41"/>
      <c r="BS426" s="41"/>
      <c r="BT426" s="41"/>
      <c r="BU426" s="41"/>
      <c r="BV426" s="41"/>
      <c r="BW426" s="41"/>
      <c r="BX426" s="41"/>
      <c r="BY426" s="41"/>
      <c r="BZ426" s="41"/>
      <c r="CA426" s="41"/>
      <c r="CB426" s="41"/>
      <c r="CC426" s="41"/>
      <c r="CD426" s="41"/>
      <c r="CE426" s="41"/>
      <c r="CF426" s="41"/>
      <c r="CG426" s="41"/>
      <c r="CH426" s="41"/>
      <c r="CI426" s="41"/>
      <c r="CJ426" s="41"/>
      <c r="CK426" s="41"/>
      <c r="CL426" s="41"/>
      <c r="CM426" s="41"/>
      <c r="CN426" s="41"/>
      <c r="CO426" s="41"/>
      <c r="CP426" s="41"/>
      <c r="CQ426" s="41"/>
      <c r="CR426" s="41"/>
      <c r="CS426" s="41"/>
      <c r="CT426" s="41"/>
      <c r="CU426" s="41"/>
      <c r="CV426" s="41"/>
      <c r="CW426" s="41"/>
      <c r="CX426" s="41"/>
      <c r="CY426" s="41"/>
      <c r="CZ426" s="41"/>
      <c r="DA426" s="41"/>
      <c r="DB426" s="41"/>
      <c r="DC426" s="41"/>
      <c r="DD426" s="41"/>
      <c r="DE426" s="41"/>
      <c r="DF426" s="41"/>
      <c r="DG426" s="41"/>
      <c r="DH426" s="41"/>
      <c r="DI426" s="41"/>
      <c r="DJ426" s="41"/>
      <c r="DK426" s="41"/>
      <c r="DL426" s="41"/>
      <c r="DM426" s="41"/>
      <c r="DN426" s="41"/>
      <c r="DO426" s="41"/>
      <c r="DP426" s="41"/>
      <c r="DQ426" s="41"/>
      <c r="DR426" s="41"/>
      <c r="DS426" s="41"/>
      <c r="DT426" s="41"/>
      <c r="DU426" s="41"/>
      <c r="DV426" s="41"/>
      <c r="DW426" s="41"/>
      <c r="DX426" s="41"/>
    </row>
    <row r="427" spans="1:128" s="75" customFormat="1" ht="31.5" hidden="1" x14ac:dyDescent="0.25">
      <c r="A427" s="86" t="s">
        <v>861</v>
      </c>
      <c r="B427" s="207" t="s">
        <v>844</v>
      </c>
      <c r="C427" s="76" t="s">
        <v>845</v>
      </c>
      <c r="D427" s="85" t="s">
        <v>846</v>
      </c>
      <c r="E427" s="178"/>
      <c r="F427" s="174">
        <v>1071611.5</v>
      </c>
      <c r="G427" s="198">
        <f t="shared" si="11"/>
        <v>76461343.484250098</v>
      </c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  <c r="BJ427" s="41"/>
      <c r="BK427" s="41"/>
      <c r="BL427" s="41"/>
      <c r="BM427" s="41"/>
      <c r="BN427" s="41"/>
      <c r="BO427" s="41"/>
      <c r="BP427" s="41"/>
      <c r="BQ427" s="41"/>
      <c r="BR427" s="41"/>
      <c r="BS427" s="41"/>
      <c r="BT427" s="41"/>
      <c r="BU427" s="41"/>
      <c r="BV427" s="41"/>
      <c r="BW427" s="41"/>
      <c r="BX427" s="41"/>
      <c r="BY427" s="41"/>
      <c r="BZ427" s="41"/>
      <c r="CA427" s="41"/>
      <c r="CB427" s="41"/>
      <c r="CC427" s="41"/>
      <c r="CD427" s="41"/>
      <c r="CE427" s="41"/>
      <c r="CF427" s="41"/>
      <c r="CG427" s="41"/>
      <c r="CH427" s="41"/>
      <c r="CI427" s="41"/>
      <c r="CJ427" s="41"/>
      <c r="CK427" s="41"/>
      <c r="CL427" s="41"/>
      <c r="CM427" s="41"/>
      <c r="CN427" s="41"/>
      <c r="CO427" s="41"/>
      <c r="CP427" s="41"/>
      <c r="CQ427" s="41"/>
      <c r="CR427" s="41"/>
      <c r="CS427" s="41"/>
      <c r="CT427" s="41"/>
      <c r="CU427" s="41"/>
      <c r="CV427" s="41"/>
      <c r="CW427" s="41"/>
      <c r="CX427" s="41"/>
      <c r="CY427" s="41"/>
      <c r="CZ427" s="41"/>
      <c r="DA427" s="41"/>
      <c r="DB427" s="41"/>
      <c r="DC427" s="41"/>
      <c r="DD427" s="41"/>
      <c r="DE427" s="41"/>
      <c r="DF427" s="41"/>
      <c r="DG427" s="41"/>
      <c r="DH427" s="41"/>
      <c r="DI427" s="41"/>
      <c r="DJ427" s="41"/>
      <c r="DK427" s="41"/>
      <c r="DL427" s="41"/>
      <c r="DM427" s="41"/>
      <c r="DN427" s="41"/>
      <c r="DO427" s="41"/>
      <c r="DP427" s="41"/>
      <c r="DQ427" s="41"/>
      <c r="DR427" s="41"/>
      <c r="DS427" s="41"/>
      <c r="DT427" s="41"/>
      <c r="DU427" s="41"/>
      <c r="DV427" s="41"/>
      <c r="DW427" s="41"/>
      <c r="DX427" s="41"/>
    </row>
    <row r="428" spans="1:128" s="75" customFormat="1" ht="15.75" hidden="1" x14ac:dyDescent="0.25">
      <c r="A428" s="86" t="s">
        <v>861</v>
      </c>
      <c r="B428" s="207" t="s">
        <v>847</v>
      </c>
      <c r="C428" s="76" t="s">
        <v>848</v>
      </c>
      <c r="D428" s="85" t="s">
        <v>849</v>
      </c>
      <c r="E428" s="178"/>
      <c r="F428" s="174">
        <v>245100</v>
      </c>
      <c r="G428" s="198">
        <f t="shared" si="11"/>
        <v>76216243.484250098</v>
      </c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  <c r="BO428" s="41"/>
      <c r="BP428" s="41"/>
      <c r="BQ428" s="41"/>
      <c r="BR428" s="41"/>
      <c r="BS428" s="41"/>
      <c r="BT428" s="41"/>
      <c r="BU428" s="41"/>
      <c r="BV428" s="41"/>
      <c r="BW428" s="41"/>
      <c r="BX428" s="41"/>
      <c r="BY428" s="41"/>
      <c r="BZ428" s="41"/>
      <c r="CA428" s="41"/>
      <c r="CB428" s="41"/>
      <c r="CC428" s="41"/>
      <c r="CD428" s="41"/>
      <c r="CE428" s="41"/>
      <c r="CF428" s="41"/>
      <c r="CG428" s="41"/>
      <c r="CH428" s="41"/>
      <c r="CI428" s="41"/>
      <c r="CJ428" s="41"/>
      <c r="CK428" s="41"/>
      <c r="CL428" s="41"/>
      <c r="CM428" s="41"/>
      <c r="CN428" s="41"/>
      <c r="CO428" s="41"/>
      <c r="CP428" s="41"/>
      <c r="CQ428" s="41"/>
      <c r="CR428" s="41"/>
      <c r="CS428" s="41"/>
      <c r="CT428" s="41"/>
      <c r="CU428" s="41"/>
      <c r="CV428" s="41"/>
      <c r="CW428" s="41"/>
      <c r="CX428" s="41"/>
      <c r="CY428" s="41"/>
      <c r="CZ428" s="41"/>
      <c r="DA428" s="41"/>
      <c r="DB428" s="41"/>
      <c r="DC428" s="41"/>
      <c r="DD428" s="41"/>
      <c r="DE428" s="41"/>
      <c r="DF428" s="41"/>
      <c r="DG428" s="41"/>
      <c r="DH428" s="41"/>
      <c r="DI428" s="41"/>
      <c r="DJ428" s="41"/>
      <c r="DK428" s="41"/>
      <c r="DL428" s="41"/>
      <c r="DM428" s="41"/>
      <c r="DN428" s="41"/>
      <c r="DO428" s="41"/>
      <c r="DP428" s="41"/>
      <c r="DQ428" s="41"/>
      <c r="DR428" s="41"/>
      <c r="DS428" s="41"/>
      <c r="DT428" s="41"/>
      <c r="DU428" s="41"/>
      <c r="DV428" s="41"/>
      <c r="DW428" s="41"/>
      <c r="DX428" s="41"/>
    </row>
    <row r="429" spans="1:128" s="75" customFormat="1" ht="63" hidden="1" x14ac:dyDescent="0.25">
      <c r="A429" s="86" t="s">
        <v>861</v>
      </c>
      <c r="B429" s="207" t="s">
        <v>850</v>
      </c>
      <c r="C429" s="76" t="s">
        <v>758</v>
      </c>
      <c r="D429" s="85" t="s">
        <v>851</v>
      </c>
      <c r="E429" s="178"/>
      <c r="F429" s="174">
        <v>1058009</v>
      </c>
      <c r="G429" s="198">
        <f t="shared" si="11"/>
        <v>75158234.484250098</v>
      </c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  <c r="BJ429" s="41"/>
      <c r="BK429" s="41"/>
      <c r="BL429" s="41"/>
      <c r="BM429" s="41"/>
      <c r="BN429" s="41"/>
      <c r="BO429" s="41"/>
      <c r="BP429" s="41"/>
      <c r="BQ429" s="41"/>
      <c r="BR429" s="41"/>
      <c r="BS429" s="41"/>
      <c r="BT429" s="41"/>
      <c r="BU429" s="41"/>
      <c r="BV429" s="41"/>
      <c r="BW429" s="41"/>
      <c r="BX429" s="41"/>
      <c r="BY429" s="41"/>
      <c r="BZ429" s="41"/>
      <c r="CA429" s="41"/>
      <c r="CB429" s="41"/>
      <c r="CC429" s="41"/>
      <c r="CD429" s="41"/>
      <c r="CE429" s="41"/>
      <c r="CF429" s="41"/>
      <c r="CG429" s="41"/>
      <c r="CH429" s="41"/>
      <c r="CI429" s="41"/>
      <c r="CJ429" s="41"/>
      <c r="CK429" s="41"/>
      <c r="CL429" s="41"/>
      <c r="CM429" s="41"/>
      <c r="CN429" s="41"/>
      <c r="CO429" s="41"/>
      <c r="CP429" s="41"/>
      <c r="CQ429" s="41"/>
      <c r="CR429" s="41"/>
      <c r="CS429" s="41"/>
      <c r="CT429" s="41"/>
      <c r="CU429" s="41"/>
      <c r="CV429" s="41"/>
      <c r="CW429" s="41"/>
      <c r="CX429" s="41"/>
      <c r="CY429" s="41"/>
      <c r="CZ429" s="41"/>
      <c r="DA429" s="41"/>
      <c r="DB429" s="41"/>
      <c r="DC429" s="41"/>
      <c r="DD429" s="41"/>
      <c r="DE429" s="41"/>
      <c r="DF429" s="41"/>
      <c r="DG429" s="41"/>
      <c r="DH429" s="41"/>
      <c r="DI429" s="41"/>
      <c r="DJ429" s="41"/>
      <c r="DK429" s="41"/>
      <c r="DL429" s="41"/>
      <c r="DM429" s="41"/>
      <c r="DN429" s="41"/>
      <c r="DO429" s="41"/>
      <c r="DP429" s="41"/>
      <c r="DQ429" s="41"/>
      <c r="DR429" s="41"/>
      <c r="DS429" s="41"/>
      <c r="DT429" s="41"/>
      <c r="DU429" s="41"/>
      <c r="DV429" s="41"/>
      <c r="DW429" s="41"/>
      <c r="DX429" s="41"/>
    </row>
    <row r="430" spans="1:128" s="75" customFormat="1" ht="31.5" hidden="1" x14ac:dyDescent="0.25">
      <c r="A430" s="86" t="s">
        <v>861</v>
      </c>
      <c r="B430" s="207" t="s">
        <v>852</v>
      </c>
      <c r="C430" s="76" t="s">
        <v>718</v>
      </c>
      <c r="D430" s="85" t="s">
        <v>853</v>
      </c>
      <c r="E430" s="178"/>
      <c r="F430" s="174">
        <v>155574.46</v>
      </c>
      <c r="G430" s="198">
        <f t="shared" si="11"/>
        <v>75002660.024250105</v>
      </c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  <c r="BF430" s="41"/>
      <c r="BG430" s="41"/>
      <c r="BH430" s="41"/>
      <c r="BI430" s="41"/>
      <c r="BJ430" s="41"/>
      <c r="BK430" s="41"/>
      <c r="BL430" s="41"/>
      <c r="BM430" s="41"/>
      <c r="BN430" s="41"/>
      <c r="BO430" s="41"/>
      <c r="BP430" s="41"/>
      <c r="BQ430" s="41"/>
      <c r="BR430" s="41"/>
      <c r="BS430" s="41"/>
      <c r="BT430" s="41"/>
      <c r="BU430" s="41"/>
      <c r="BV430" s="41"/>
      <c r="BW430" s="41"/>
      <c r="BX430" s="41"/>
      <c r="BY430" s="41"/>
      <c r="BZ430" s="41"/>
      <c r="CA430" s="41"/>
      <c r="CB430" s="41"/>
      <c r="CC430" s="41"/>
      <c r="CD430" s="41"/>
      <c r="CE430" s="41"/>
      <c r="CF430" s="41"/>
      <c r="CG430" s="41"/>
      <c r="CH430" s="41"/>
      <c r="CI430" s="41"/>
      <c r="CJ430" s="41"/>
      <c r="CK430" s="41"/>
      <c r="CL430" s="41"/>
      <c r="CM430" s="41"/>
      <c r="CN430" s="41"/>
      <c r="CO430" s="41"/>
      <c r="CP430" s="41"/>
      <c r="CQ430" s="41"/>
      <c r="CR430" s="41"/>
      <c r="CS430" s="41"/>
      <c r="CT430" s="41"/>
      <c r="CU430" s="41"/>
      <c r="CV430" s="41"/>
      <c r="CW430" s="41"/>
      <c r="CX430" s="41"/>
      <c r="CY430" s="41"/>
      <c r="CZ430" s="41"/>
      <c r="DA430" s="41"/>
      <c r="DB430" s="41"/>
      <c r="DC430" s="41"/>
      <c r="DD430" s="41"/>
      <c r="DE430" s="41"/>
      <c r="DF430" s="41"/>
      <c r="DG430" s="41"/>
      <c r="DH430" s="41"/>
      <c r="DI430" s="41"/>
      <c r="DJ430" s="41"/>
      <c r="DK430" s="41"/>
      <c r="DL430" s="41"/>
      <c r="DM430" s="41"/>
      <c r="DN430" s="41"/>
      <c r="DO430" s="41"/>
      <c r="DP430" s="41"/>
      <c r="DQ430" s="41"/>
      <c r="DR430" s="41"/>
      <c r="DS430" s="41"/>
      <c r="DT430" s="41"/>
      <c r="DU430" s="41"/>
      <c r="DV430" s="41"/>
      <c r="DW430" s="41"/>
      <c r="DX430" s="41"/>
    </row>
    <row r="431" spans="1:128" s="75" customFormat="1" ht="31.5" hidden="1" x14ac:dyDescent="0.25">
      <c r="A431" s="86" t="s">
        <v>861</v>
      </c>
      <c r="B431" s="207" t="s">
        <v>854</v>
      </c>
      <c r="C431" s="76" t="s">
        <v>855</v>
      </c>
      <c r="D431" s="85" t="s">
        <v>856</v>
      </c>
      <c r="E431" s="178"/>
      <c r="F431" s="174">
        <v>907439.26</v>
      </c>
      <c r="G431" s="198">
        <f t="shared" si="11"/>
        <v>74095220.7642501</v>
      </c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  <c r="BO431" s="41"/>
      <c r="BP431" s="41"/>
      <c r="BQ431" s="41"/>
      <c r="BR431" s="41"/>
      <c r="BS431" s="41"/>
      <c r="BT431" s="41"/>
      <c r="BU431" s="41"/>
      <c r="BV431" s="41"/>
      <c r="BW431" s="41"/>
      <c r="BX431" s="41"/>
      <c r="BY431" s="41"/>
      <c r="BZ431" s="41"/>
      <c r="CA431" s="41"/>
      <c r="CB431" s="41"/>
      <c r="CC431" s="41"/>
      <c r="CD431" s="41"/>
      <c r="CE431" s="41"/>
      <c r="CF431" s="41"/>
      <c r="CG431" s="41"/>
      <c r="CH431" s="41"/>
      <c r="CI431" s="41"/>
      <c r="CJ431" s="41"/>
      <c r="CK431" s="41"/>
      <c r="CL431" s="41"/>
      <c r="CM431" s="41"/>
      <c r="CN431" s="41"/>
      <c r="CO431" s="41"/>
      <c r="CP431" s="41"/>
      <c r="CQ431" s="41"/>
      <c r="CR431" s="41"/>
      <c r="CS431" s="41"/>
      <c r="CT431" s="41"/>
      <c r="CU431" s="41"/>
      <c r="CV431" s="41"/>
      <c r="CW431" s="41"/>
      <c r="CX431" s="41"/>
      <c r="CY431" s="41"/>
      <c r="CZ431" s="41"/>
      <c r="DA431" s="41"/>
      <c r="DB431" s="41"/>
      <c r="DC431" s="41"/>
      <c r="DD431" s="41"/>
      <c r="DE431" s="41"/>
      <c r="DF431" s="41"/>
      <c r="DG431" s="41"/>
      <c r="DH431" s="41"/>
      <c r="DI431" s="41"/>
      <c r="DJ431" s="41"/>
      <c r="DK431" s="41"/>
      <c r="DL431" s="41"/>
      <c r="DM431" s="41"/>
      <c r="DN431" s="41"/>
      <c r="DO431" s="41"/>
      <c r="DP431" s="41"/>
      <c r="DQ431" s="41"/>
      <c r="DR431" s="41"/>
      <c r="DS431" s="41"/>
      <c r="DT431" s="41"/>
      <c r="DU431" s="41"/>
      <c r="DV431" s="41"/>
      <c r="DW431" s="41"/>
      <c r="DX431" s="41"/>
    </row>
    <row r="432" spans="1:128" s="75" customFormat="1" ht="63" hidden="1" x14ac:dyDescent="0.25">
      <c r="A432" s="86" t="s">
        <v>861</v>
      </c>
      <c r="B432" s="207" t="s">
        <v>857</v>
      </c>
      <c r="C432" s="76" t="s">
        <v>703</v>
      </c>
      <c r="D432" s="85" t="s">
        <v>858</v>
      </c>
      <c r="E432" s="178"/>
      <c r="F432" s="174">
        <v>1733099.32</v>
      </c>
      <c r="G432" s="199">
        <f t="shared" si="11"/>
        <v>72362121.444250107</v>
      </c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  <c r="BL432" s="41"/>
      <c r="BM432" s="41"/>
      <c r="BN432" s="41"/>
      <c r="BO432" s="41"/>
      <c r="BP432" s="41"/>
      <c r="BQ432" s="41"/>
      <c r="BR432" s="41"/>
      <c r="BS432" s="41"/>
      <c r="BT432" s="41"/>
      <c r="BU432" s="41"/>
      <c r="BV432" s="41"/>
      <c r="BW432" s="41"/>
      <c r="BX432" s="41"/>
      <c r="BY432" s="41"/>
      <c r="BZ432" s="41"/>
      <c r="CA432" s="41"/>
      <c r="CB432" s="41"/>
      <c r="CC432" s="41"/>
      <c r="CD432" s="41"/>
      <c r="CE432" s="41"/>
      <c r="CF432" s="41"/>
      <c r="CG432" s="41"/>
      <c r="CH432" s="41"/>
      <c r="CI432" s="41"/>
      <c r="CJ432" s="41"/>
      <c r="CK432" s="41"/>
      <c r="CL432" s="41"/>
      <c r="CM432" s="41"/>
      <c r="CN432" s="41"/>
      <c r="CO432" s="41"/>
      <c r="CP432" s="41"/>
      <c r="CQ432" s="41"/>
      <c r="CR432" s="41"/>
      <c r="CS432" s="41"/>
      <c r="CT432" s="41"/>
      <c r="CU432" s="41"/>
      <c r="CV432" s="41"/>
      <c r="CW432" s="41"/>
      <c r="CX432" s="41"/>
      <c r="CY432" s="41"/>
      <c r="CZ432" s="41"/>
      <c r="DA432" s="41"/>
      <c r="DB432" s="41"/>
      <c r="DC432" s="41"/>
      <c r="DD432" s="41"/>
      <c r="DE432" s="41"/>
      <c r="DF432" s="41"/>
      <c r="DG432" s="41"/>
      <c r="DH432" s="41"/>
      <c r="DI432" s="41"/>
      <c r="DJ432" s="41"/>
      <c r="DK432" s="41"/>
      <c r="DL432" s="41"/>
      <c r="DM432" s="41"/>
      <c r="DN432" s="41"/>
      <c r="DO432" s="41"/>
      <c r="DP432" s="41"/>
      <c r="DQ432" s="41"/>
      <c r="DR432" s="41"/>
      <c r="DS432" s="41"/>
      <c r="DT432" s="41"/>
      <c r="DU432" s="41"/>
      <c r="DV432" s="41"/>
      <c r="DW432" s="41"/>
      <c r="DX432" s="41"/>
    </row>
    <row r="433" spans="1:128" s="75" customFormat="1" ht="15.75" hidden="1" x14ac:dyDescent="0.25">
      <c r="A433" s="86" t="s">
        <v>863</v>
      </c>
      <c r="B433" s="87"/>
      <c r="C433" s="76" t="s">
        <v>13</v>
      </c>
      <c r="D433" s="85" t="s">
        <v>22</v>
      </c>
      <c r="E433" s="178">
        <f>51833</f>
        <v>51833</v>
      </c>
      <c r="F433" s="174"/>
      <c r="G433" s="198">
        <f t="shared" si="11"/>
        <v>72413954.444250107</v>
      </c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41"/>
      <c r="BG433" s="41"/>
      <c r="BH433" s="41"/>
      <c r="BI433" s="41"/>
      <c r="BJ433" s="41"/>
      <c r="BK433" s="41"/>
      <c r="BL433" s="41"/>
      <c r="BM433" s="41"/>
      <c r="BN433" s="41"/>
      <c r="BO433" s="41"/>
      <c r="BP433" s="41"/>
      <c r="BQ433" s="41"/>
      <c r="BR433" s="41"/>
      <c r="BS433" s="41"/>
      <c r="BT433" s="41"/>
      <c r="BU433" s="41"/>
      <c r="BV433" s="41"/>
      <c r="BW433" s="41"/>
      <c r="BX433" s="41"/>
      <c r="BY433" s="41"/>
      <c r="BZ433" s="41"/>
      <c r="CA433" s="41"/>
      <c r="CB433" s="41"/>
      <c r="CC433" s="41"/>
      <c r="CD433" s="41"/>
      <c r="CE433" s="41"/>
      <c r="CF433" s="41"/>
      <c r="CG433" s="41"/>
      <c r="CH433" s="41"/>
      <c r="CI433" s="41"/>
      <c r="CJ433" s="41"/>
      <c r="CK433" s="41"/>
      <c r="CL433" s="41"/>
      <c r="CM433" s="41"/>
      <c r="CN433" s="41"/>
      <c r="CO433" s="41"/>
      <c r="CP433" s="41"/>
      <c r="CQ433" s="41"/>
      <c r="CR433" s="41"/>
      <c r="CS433" s="41"/>
      <c r="CT433" s="41"/>
      <c r="CU433" s="41"/>
      <c r="CV433" s="41"/>
      <c r="CW433" s="41"/>
      <c r="CX433" s="41"/>
      <c r="CY433" s="41"/>
      <c r="CZ433" s="41"/>
      <c r="DA433" s="41"/>
      <c r="DB433" s="41"/>
      <c r="DC433" s="41"/>
      <c r="DD433" s="41"/>
      <c r="DE433" s="41"/>
      <c r="DF433" s="41"/>
      <c r="DG433" s="41"/>
      <c r="DH433" s="41"/>
      <c r="DI433" s="41"/>
      <c r="DJ433" s="41"/>
      <c r="DK433" s="41"/>
      <c r="DL433" s="41"/>
      <c r="DM433" s="41"/>
      <c r="DN433" s="41"/>
      <c r="DO433" s="41"/>
      <c r="DP433" s="41"/>
      <c r="DQ433" s="41"/>
      <c r="DR433" s="41"/>
      <c r="DS433" s="41"/>
      <c r="DT433" s="41"/>
      <c r="DU433" s="41"/>
      <c r="DV433" s="41"/>
      <c r="DW433" s="41"/>
      <c r="DX433" s="41"/>
    </row>
    <row r="434" spans="1:128" s="75" customFormat="1" ht="15.75" hidden="1" x14ac:dyDescent="0.25">
      <c r="A434" s="86" t="s">
        <v>863</v>
      </c>
      <c r="B434" s="87"/>
      <c r="C434" s="76" t="s">
        <v>13</v>
      </c>
      <c r="D434" s="85" t="s">
        <v>48</v>
      </c>
      <c r="E434" s="178">
        <f>441</f>
        <v>441</v>
      </c>
      <c r="F434" s="178">
        <f>E434*0.025</f>
        <v>11.025</v>
      </c>
      <c r="G434" s="198">
        <f t="shared" si="11"/>
        <v>72414384.419250101</v>
      </c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41"/>
      <c r="BG434" s="41"/>
      <c r="BH434" s="41"/>
      <c r="BI434" s="41"/>
      <c r="BJ434" s="41"/>
      <c r="BK434" s="41"/>
      <c r="BL434" s="41"/>
      <c r="BM434" s="41"/>
      <c r="BN434" s="41"/>
      <c r="BO434" s="41"/>
      <c r="BP434" s="41"/>
      <c r="BQ434" s="41"/>
      <c r="BR434" s="41"/>
      <c r="BS434" s="41"/>
      <c r="BT434" s="41"/>
      <c r="BU434" s="41"/>
      <c r="BV434" s="41"/>
      <c r="BW434" s="41"/>
      <c r="BX434" s="41"/>
      <c r="BY434" s="41"/>
      <c r="BZ434" s="41"/>
      <c r="CA434" s="41"/>
      <c r="CB434" s="41"/>
      <c r="CC434" s="41"/>
      <c r="CD434" s="41"/>
      <c r="CE434" s="41"/>
      <c r="CF434" s="41"/>
      <c r="CG434" s="41"/>
      <c r="CH434" s="41"/>
      <c r="CI434" s="41"/>
      <c r="CJ434" s="41"/>
      <c r="CK434" s="41"/>
      <c r="CL434" s="41"/>
      <c r="CM434" s="41"/>
      <c r="CN434" s="41"/>
      <c r="CO434" s="41"/>
      <c r="CP434" s="41"/>
      <c r="CQ434" s="41"/>
      <c r="CR434" s="41"/>
      <c r="CS434" s="41"/>
      <c r="CT434" s="41"/>
      <c r="CU434" s="41"/>
      <c r="CV434" s="41"/>
      <c r="CW434" s="41"/>
      <c r="CX434" s="41"/>
      <c r="CY434" s="41"/>
      <c r="CZ434" s="41"/>
      <c r="DA434" s="41"/>
      <c r="DB434" s="41"/>
      <c r="DC434" s="41"/>
      <c r="DD434" s="41"/>
      <c r="DE434" s="41"/>
      <c r="DF434" s="41"/>
      <c r="DG434" s="41"/>
      <c r="DH434" s="41"/>
      <c r="DI434" s="41"/>
      <c r="DJ434" s="41"/>
      <c r="DK434" s="41"/>
      <c r="DL434" s="41"/>
      <c r="DM434" s="41"/>
      <c r="DN434" s="41"/>
      <c r="DO434" s="41"/>
      <c r="DP434" s="41"/>
      <c r="DQ434" s="41"/>
      <c r="DR434" s="41"/>
      <c r="DS434" s="41"/>
      <c r="DT434" s="41"/>
      <c r="DU434" s="41"/>
      <c r="DV434" s="41"/>
      <c r="DW434" s="41"/>
      <c r="DX434" s="41"/>
    </row>
    <row r="435" spans="1:128" s="75" customFormat="1" ht="15.75" hidden="1" x14ac:dyDescent="0.25">
      <c r="A435" s="86" t="s">
        <v>863</v>
      </c>
      <c r="B435" s="87"/>
      <c r="C435" s="76" t="s">
        <v>13</v>
      </c>
      <c r="D435" s="85" t="s">
        <v>48</v>
      </c>
      <c r="E435" s="178">
        <v>12600</v>
      </c>
      <c r="F435" s="178">
        <f>E435*0.025</f>
        <v>315</v>
      </c>
      <c r="G435" s="198">
        <f t="shared" si="11"/>
        <v>72426669.419250101</v>
      </c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41"/>
      <c r="BG435" s="41"/>
      <c r="BH435" s="41"/>
      <c r="BI435" s="41"/>
      <c r="BJ435" s="41"/>
      <c r="BK435" s="41"/>
      <c r="BL435" s="41"/>
      <c r="BM435" s="41"/>
      <c r="BN435" s="41"/>
      <c r="BO435" s="41"/>
      <c r="BP435" s="41"/>
      <c r="BQ435" s="41"/>
      <c r="BR435" s="41"/>
      <c r="BS435" s="41"/>
      <c r="BT435" s="41"/>
      <c r="BU435" s="41"/>
      <c r="BV435" s="41"/>
      <c r="BW435" s="41"/>
      <c r="BX435" s="41"/>
      <c r="BY435" s="41"/>
      <c r="BZ435" s="41"/>
      <c r="CA435" s="41"/>
      <c r="CB435" s="41"/>
      <c r="CC435" s="41"/>
      <c r="CD435" s="41"/>
      <c r="CE435" s="41"/>
      <c r="CF435" s="41"/>
      <c r="CG435" s="41"/>
      <c r="CH435" s="41"/>
      <c r="CI435" s="41"/>
      <c r="CJ435" s="41"/>
      <c r="CK435" s="41"/>
      <c r="CL435" s="41"/>
      <c r="CM435" s="41"/>
      <c r="CN435" s="41"/>
      <c r="CO435" s="41"/>
      <c r="CP435" s="41"/>
      <c r="CQ435" s="41"/>
      <c r="CR435" s="41"/>
      <c r="CS435" s="41"/>
      <c r="CT435" s="41"/>
      <c r="CU435" s="41"/>
      <c r="CV435" s="41"/>
      <c r="CW435" s="41"/>
      <c r="CX435" s="41"/>
      <c r="CY435" s="41"/>
      <c r="CZ435" s="41"/>
      <c r="DA435" s="41"/>
      <c r="DB435" s="41"/>
      <c r="DC435" s="41"/>
      <c r="DD435" s="41"/>
      <c r="DE435" s="41"/>
      <c r="DF435" s="41"/>
      <c r="DG435" s="41"/>
      <c r="DH435" s="41"/>
      <c r="DI435" s="41"/>
      <c r="DJ435" s="41"/>
      <c r="DK435" s="41"/>
      <c r="DL435" s="41"/>
      <c r="DM435" s="41"/>
      <c r="DN435" s="41"/>
      <c r="DO435" s="41"/>
      <c r="DP435" s="41"/>
      <c r="DQ435" s="41"/>
      <c r="DR435" s="41"/>
      <c r="DS435" s="41"/>
      <c r="DT435" s="41"/>
      <c r="DU435" s="41"/>
      <c r="DV435" s="41"/>
      <c r="DW435" s="41"/>
      <c r="DX435" s="41"/>
    </row>
    <row r="436" spans="1:128" s="75" customFormat="1" ht="15.75" hidden="1" x14ac:dyDescent="0.25">
      <c r="A436" s="86" t="s">
        <v>863</v>
      </c>
      <c r="B436" s="87"/>
      <c r="C436" s="76" t="s">
        <v>13</v>
      </c>
      <c r="D436" s="85" t="s">
        <v>48</v>
      </c>
      <c r="E436" s="178">
        <v>927.6</v>
      </c>
      <c r="F436" s="178">
        <f>E436*0.025</f>
        <v>23.19</v>
      </c>
      <c r="G436" s="198">
        <f t="shared" si="11"/>
        <v>72427573.829250097</v>
      </c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  <c r="BF436" s="41"/>
      <c r="BG436" s="41"/>
      <c r="BH436" s="41"/>
      <c r="BI436" s="41"/>
      <c r="BJ436" s="41"/>
      <c r="BK436" s="41"/>
      <c r="BL436" s="41"/>
      <c r="BM436" s="41"/>
      <c r="BN436" s="41"/>
      <c r="BO436" s="41"/>
      <c r="BP436" s="41"/>
      <c r="BQ436" s="41"/>
      <c r="BR436" s="41"/>
      <c r="BS436" s="41"/>
      <c r="BT436" s="41"/>
      <c r="BU436" s="41"/>
      <c r="BV436" s="41"/>
      <c r="BW436" s="41"/>
      <c r="BX436" s="41"/>
      <c r="BY436" s="41"/>
      <c r="BZ436" s="41"/>
      <c r="CA436" s="41"/>
      <c r="CB436" s="41"/>
      <c r="CC436" s="41"/>
      <c r="CD436" s="41"/>
      <c r="CE436" s="41"/>
      <c r="CF436" s="41"/>
      <c r="CG436" s="41"/>
      <c r="CH436" s="41"/>
      <c r="CI436" s="41"/>
      <c r="CJ436" s="41"/>
      <c r="CK436" s="41"/>
      <c r="CL436" s="41"/>
      <c r="CM436" s="41"/>
      <c r="CN436" s="41"/>
      <c r="CO436" s="41"/>
      <c r="CP436" s="41"/>
      <c r="CQ436" s="41"/>
      <c r="CR436" s="41"/>
      <c r="CS436" s="41"/>
      <c r="CT436" s="41"/>
      <c r="CU436" s="41"/>
      <c r="CV436" s="41"/>
      <c r="CW436" s="41"/>
      <c r="CX436" s="41"/>
      <c r="CY436" s="41"/>
      <c r="CZ436" s="41"/>
      <c r="DA436" s="41"/>
      <c r="DB436" s="41"/>
      <c r="DC436" s="41"/>
      <c r="DD436" s="41"/>
      <c r="DE436" s="41"/>
      <c r="DF436" s="41"/>
      <c r="DG436" s="41"/>
      <c r="DH436" s="41"/>
      <c r="DI436" s="41"/>
      <c r="DJ436" s="41"/>
      <c r="DK436" s="41"/>
      <c r="DL436" s="41"/>
      <c r="DM436" s="41"/>
      <c r="DN436" s="41"/>
      <c r="DO436" s="41"/>
      <c r="DP436" s="41"/>
      <c r="DQ436" s="41"/>
      <c r="DR436" s="41"/>
      <c r="DS436" s="41"/>
      <c r="DT436" s="41"/>
      <c r="DU436" s="41"/>
      <c r="DV436" s="41"/>
      <c r="DW436" s="41"/>
      <c r="DX436" s="41"/>
    </row>
    <row r="437" spans="1:128" s="75" customFormat="1" ht="15.75" hidden="1" x14ac:dyDescent="0.25">
      <c r="A437" s="86" t="s">
        <v>863</v>
      </c>
      <c r="B437" s="87"/>
      <c r="C437" s="76" t="s">
        <v>12</v>
      </c>
      <c r="D437" s="85" t="s">
        <v>552</v>
      </c>
      <c r="E437" s="178">
        <v>121262.87</v>
      </c>
      <c r="F437" s="174"/>
      <c r="G437" s="198">
        <f t="shared" si="11"/>
        <v>72548836.699250102</v>
      </c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41"/>
      <c r="BG437" s="41"/>
      <c r="BH437" s="41"/>
      <c r="BI437" s="41"/>
      <c r="BJ437" s="41"/>
      <c r="BK437" s="41"/>
      <c r="BL437" s="41"/>
      <c r="BM437" s="41"/>
      <c r="BN437" s="41"/>
      <c r="BO437" s="41"/>
      <c r="BP437" s="41"/>
      <c r="BQ437" s="41"/>
      <c r="BR437" s="41"/>
      <c r="BS437" s="41"/>
      <c r="BT437" s="41"/>
      <c r="BU437" s="41"/>
      <c r="BV437" s="41"/>
      <c r="BW437" s="41"/>
      <c r="BX437" s="41"/>
      <c r="BY437" s="41"/>
      <c r="BZ437" s="41"/>
      <c r="CA437" s="41"/>
      <c r="CB437" s="41"/>
      <c r="CC437" s="41"/>
      <c r="CD437" s="41"/>
      <c r="CE437" s="41"/>
      <c r="CF437" s="41"/>
      <c r="CG437" s="41"/>
      <c r="CH437" s="41"/>
      <c r="CI437" s="41"/>
      <c r="CJ437" s="41"/>
      <c r="CK437" s="41"/>
      <c r="CL437" s="41"/>
      <c r="CM437" s="41"/>
      <c r="CN437" s="41"/>
      <c r="CO437" s="41"/>
      <c r="CP437" s="41"/>
      <c r="CQ437" s="41"/>
      <c r="CR437" s="41"/>
      <c r="CS437" s="41"/>
      <c r="CT437" s="41"/>
      <c r="CU437" s="41"/>
      <c r="CV437" s="41"/>
      <c r="CW437" s="41"/>
      <c r="CX437" s="41"/>
      <c r="CY437" s="41"/>
      <c r="CZ437" s="41"/>
      <c r="DA437" s="41"/>
      <c r="DB437" s="41"/>
      <c r="DC437" s="41"/>
      <c r="DD437" s="41"/>
      <c r="DE437" s="41"/>
      <c r="DF437" s="41"/>
      <c r="DG437" s="41"/>
      <c r="DH437" s="41"/>
      <c r="DI437" s="41"/>
      <c r="DJ437" s="41"/>
      <c r="DK437" s="41"/>
      <c r="DL437" s="41"/>
      <c r="DM437" s="41"/>
      <c r="DN437" s="41"/>
      <c r="DO437" s="41"/>
      <c r="DP437" s="41"/>
      <c r="DQ437" s="41"/>
      <c r="DR437" s="41"/>
      <c r="DS437" s="41"/>
      <c r="DT437" s="41"/>
      <c r="DU437" s="41"/>
      <c r="DV437" s="41"/>
      <c r="DW437" s="41"/>
      <c r="DX437" s="41"/>
    </row>
    <row r="438" spans="1:128" s="75" customFormat="1" ht="15.75" hidden="1" x14ac:dyDescent="0.25">
      <c r="A438" s="86" t="s">
        <v>863</v>
      </c>
      <c r="B438" s="87"/>
      <c r="C438" s="76" t="s">
        <v>12</v>
      </c>
      <c r="D438" s="85" t="s">
        <v>90</v>
      </c>
      <c r="E438" s="178">
        <v>86292.93</v>
      </c>
      <c r="F438" s="174"/>
      <c r="G438" s="198">
        <f t="shared" si="11"/>
        <v>72635129.629250109</v>
      </c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  <c r="BF438" s="41"/>
      <c r="BG438" s="41"/>
      <c r="BH438" s="41"/>
      <c r="BI438" s="41"/>
      <c r="BJ438" s="41"/>
      <c r="BK438" s="41"/>
      <c r="BL438" s="41"/>
      <c r="BM438" s="41"/>
      <c r="BN438" s="41"/>
      <c r="BO438" s="41"/>
      <c r="BP438" s="41"/>
      <c r="BQ438" s="41"/>
      <c r="BR438" s="41"/>
      <c r="BS438" s="41"/>
      <c r="BT438" s="41"/>
      <c r="BU438" s="41"/>
      <c r="BV438" s="41"/>
      <c r="BW438" s="41"/>
      <c r="BX438" s="41"/>
      <c r="BY438" s="41"/>
      <c r="BZ438" s="41"/>
      <c r="CA438" s="41"/>
      <c r="CB438" s="41"/>
      <c r="CC438" s="41"/>
      <c r="CD438" s="41"/>
      <c r="CE438" s="41"/>
      <c r="CF438" s="41"/>
      <c r="CG438" s="41"/>
      <c r="CH438" s="41"/>
      <c r="CI438" s="41"/>
      <c r="CJ438" s="41"/>
      <c r="CK438" s="41"/>
      <c r="CL438" s="41"/>
      <c r="CM438" s="41"/>
      <c r="CN438" s="41"/>
      <c r="CO438" s="41"/>
      <c r="CP438" s="41"/>
      <c r="CQ438" s="41"/>
      <c r="CR438" s="41"/>
      <c r="CS438" s="41"/>
      <c r="CT438" s="41"/>
      <c r="CU438" s="41"/>
      <c r="CV438" s="41"/>
      <c r="CW438" s="41"/>
      <c r="CX438" s="41"/>
      <c r="CY438" s="41"/>
      <c r="CZ438" s="41"/>
      <c r="DA438" s="41"/>
      <c r="DB438" s="41"/>
      <c r="DC438" s="41"/>
      <c r="DD438" s="41"/>
      <c r="DE438" s="41"/>
      <c r="DF438" s="41"/>
      <c r="DG438" s="41"/>
      <c r="DH438" s="41"/>
      <c r="DI438" s="41"/>
      <c r="DJ438" s="41"/>
      <c r="DK438" s="41"/>
      <c r="DL438" s="41"/>
      <c r="DM438" s="41"/>
      <c r="DN438" s="41"/>
      <c r="DO438" s="41"/>
      <c r="DP438" s="41"/>
      <c r="DQ438" s="41"/>
      <c r="DR438" s="41"/>
      <c r="DS438" s="41"/>
      <c r="DT438" s="41"/>
      <c r="DU438" s="41"/>
      <c r="DV438" s="41"/>
      <c r="DW438" s="41"/>
      <c r="DX438" s="41"/>
    </row>
    <row r="439" spans="1:128" s="75" customFormat="1" ht="15.75" hidden="1" x14ac:dyDescent="0.25">
      <c r="A439" s="86" t="s">
        <v>863</v>
      </c>
      <c r="B439" s="87"/>
      <c r="C439" s="76" t="s">
        <v>12</v>
      </c>
      <c r="D439" s="85" t="s">
        <v>875</v>
      </c>
      <c r="E439" s="178">
        <v>50000</v>
      </c>
      <c r="F439" s="174"/>
      <c r="G439" s="198">
        <f t="shared" si="11"/>
        <v>72685129.629250109</v>
      </c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41"/>
      <c r="BG439" s="41"/>
      <c r="BH439" s="41"/>
      <c r="BI439" s="41"/>
      <c r="BJ439" s="41"/>
      <c r="BK439" s="41"/>
      <c r="BL439" s="41"/>
      <c r="BM439" s="41"/>
      <c r="BN439" s="41"/>
      <c r="BO439" s="41"/>
      <c r="BP439" s="41"/>
      <c r="BQ439" s="41"/>
      <c r="BR439" s="41"/>
      <c r="BS439" s="41"/>
      <c r="BT439" s="41"/>
      <c r="BU439" s="41"/>
      <c r="BV439" s="41"/>
      <c r="BW439" s="41"/>
      <c r="BX439" s="41"/>
      <c r="BY439" s="41"/>
      <c r="BZ439" s="41"/>
      <c r="CA439" s="41"/>
      <c r="CB439" s="41"/>
      <c r="CC439" s="41"/>
      <c r="CD439" s="41"/>
      <c r="CE439" s="41"/>
      <c r="CF439" s="41"/>
      <c r="CG439" s="41"/>
      <c r="CH439" s="41"/>
      <c r="CI439" s="41"/>
      <c r="CJ439" s="41"/>
      <c r="CK439" s="41"/>
      <c r="CL439" s="41"/>
      <c r="CM439" s="41"/>
      <c r="CN439" s="41"/>
      <c r="CO439" s="41"/>
      <c r="CP439" s="41"/>
      <c r="CQ439" s="41"/>
      <c r="CR439" s="41"/>
      <c r="CS439" s="41"/>
      <c r="CT439" s="41"/>
      <c r="CU439" s="41"/>
      <c r="CV439" s="41"/>
      <c r="CW439" s="41"/>
      <c r="CX439" s="41"/>
      <c r="CY439" s="41"/>
      <c r="CZ439" s="41"/>
      <c r="DA439" s="41"/>
      <c r="DB439" s="41"/>
      <c r="DC439" s="41"/>
      <c r="DD439" s="41"/>
      <c r="DE439" s="41"/>
      <c r="DF439" s="41"/>
      <c r="DG439" s="41"/>
      <c r="DH439" s="41"/>
      <c r="DI439" s="41"/>
      <c r="DJ439" s="41"/>
      <c r="DK439" s="41"/>
      <c r="DL439" s="41"/>
      <c r="DM439" s="41"/>
      <c r="DN439" s="41"/>
      <c r="DO439" s="41"/>
      <c r="DP439" s="41"/>
      <c r="DQ439" s="41"/>
      <c r="DR439" s="41"/>
      <c r="DS439" s="41"/>
      <c r="DT439" s="41"/>
      <c r="DU439" s="41"/>
      <c r="DV439" s="41"/>
      <c r="DW439" s="41"/>
      <c r="DX439" s="41"/>
    </row>
    <row r="440" spans="1:128" s="75" customFormat="1" ht="15.75" hidden="1" x14ac:dyDescent="0.25">
      <c r="A440" s="86" t="s">
        <v>863</v>
      </c>
      <c r="B440" s="87"/>
      <c r="C440" s="76" t="s">
        <v>12</v>
      </c>
      <c r="D440" s="85" t="s">
        <v>534</v>
      </c>
      <c r="E440" s="178">
        <v>14247.17</v>
      </c>
      <c r="F440" s="174"/>
      <c r="G440" s="198">
        <f t="shared" si="11"/>
        <v>72699376.799250111</v>
      </c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  <c r="BF440" s="41"/>
      <c r="BG440" s="41"/>
      <c r="BH440" s="41"/>
      <c r="BI440" s="41"/>
      <c r="BJ440" s="41"/>
      <c r="BK440" s="41"/>
      <c r="BL440" s="41"/>
      <c r="BM440" s="41"/>
      <c r="BN440" s="41"/>
      <c r="BO440" s="41"/>
      <c r="BP440" s="41"/>
      <c r="BQ440" s="41"/>
      <c r="BR440" s="41"/>
      <c r="BS440" s="41"/>
      <c r="BT440" s="41"/>
      <c r="BU440" s="41"/>
      <c r="BV440" s="41"/>
      <c r="BW440" s="41"/>
      <c r="BX440" s="41"/>
      <c r="BY440" s="41"/>
      <c r="BZ440" s="41"/>
      <c r="CA440" s="41"/>
      <c r="CB440" s="41"/>
      <c r="CC440" s="41"/>
      <c r="CD440" s="41"/>
      <c r="CE440" s="41"/>
      <c r="CF440" s="41"/>
      <c r="CG440" s="41"/>
      <c r="CH440" s="41"/>
      <c r="CI440" s="41"/>
      <c r="CJ440" s="41"/>
      <c r="CK440" s="41"/>
      <c r="CL440" s="41"/>
      <c r="CM440" s="41"/>
      <c r="CN440" s="41"/>
      <c r="CO440" s="41"/>
      <c r="CP440" s="41"/>
      <c r="CQ440" s="41"/>
      <c r="CR440" s="41"/>
      <c r="CS440" s="41"/>
      <c r="CT440" s="41"/>
      <c r="CU440" s="41"/>
      <c r="CV440" s="41"/>
      <c r="CW440" s="41"/>
      <c r="CX440" s="41"/>
      <c r="CY440" s="41"/>
      <c r="CZ440" s="41"/>
      <c r="DA440" s="41"/>
      <c r="DB440" s="41"/>
      <c r="DC440" s="41"/>
      <c r="DD440" s="41"/>
      <c r="DE440" s="41"/>
      <c r="DF440" s="41"/>
      <c r="DG440" s="41"/>
      <c r="DH440" s="41"/>
      <c r="DI440" s="41"/>
      <c r="DJ440" s="41"/>
      <c r="DK440" s="41"/>
      <c r="DL440" s="41"/>
      <c r="DM440" s="41"/>
      <c r="DN440" s="41"/>
      <c r="DO440" s="41"/>
      <c r="DP440" s="41"/>
      <c r="DQ440" s="41"/>
      <c r="DR440" s="41"/>
      <c r="DS440" s="41"/>
      <c r="DT440" s="41"/>
      <c r="DU440" s="41"/>
      <c r="DV440" s="41"/>
      <c r="DW440" s="41"/>
      <c r="DX440" s="41"/>
    </row>
    <row r="441" spans="1:128" s="75" customFormat="1" ht="15.75" hidden="1" x14ac:dyDescent="0.25">
      <c r="A441" s="86" t="s">
        <v>863</v>
      </c>
      <c r="B441" s="87"/>
      <c r="C441" s="76" t="s">
        <v>12</v>
      </c>
      <c r="D441" s="85" t="s">
        <v>874</v>
      </c>
      <c r="E441" s="178">
        <v>2543189.0099999998</v>
      </c>
      <c r="F441" s="174"/>
      <c r="G441" s="198">
        <f t="shared" si="11"/>
        <v>75242565.809250116</v>
      </c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1"/>
      <c r="BD441" s="41"/>
      <c r="BE441" s="41"/>
      <c r="BF441" s="41"/>
      <c r="BG441" s="41"/>
      <c r="BH441" s="41"/>
      <c r="BI441" s="41"/>
      <c r="BJ441" s="41"/>
      <c r="BK441" s="41"/>
      <c r="BL441" s="41"/>
      <c r="BM441" s="41"/>
      <c r="BN441" s="41"/>
      <c r="BO441" s="41"/>
      <c r="BP441" s="41"/>
      <c r="BQ441" s="41"/>
      <c r="BR441" s="41"/>
      <c r="BS441" s="41"/>
      <c r="BT441" s="41"/>
      <c r="BU441" s="41"/>
      <c r="BV441" s="41"/>
      <c r="BW441" s="41"/>
      <c r="BX441" s="41"/>
      <c r="BY441" s="41"/>
      <c r="BZ441" s="41"/>
      <c r="CA441" s="41"/>
      <c r="CB441" s="41"/>
      <c r="CC441" s="41"/>
      <c r="CD441" s="41"/>
      <c r="CE441" s="41"/>
      <c r="CF441" s="41"/>
      <c r="CG441" s="41"/>
      <c r="CH441" s="41"/>
      <c r="CI441" s="41"/>
      <c r="CJ441" s="41"/>
      <c r="CK441" s="41"/>
      <c r="CL441" s="41"/>
      <c r="CM441" s="41"/>
      <c r="CN441" s="41"/>
      <c r="CO441" s="41"/>
      <c r="CP441" s="41"/>
      <c r="CQ441" s="41"/>
      <c r="CR441" s="41"/>
      <c r="CS441" s="41"/>
      <c r="CT441" s="41"/>
      <c r="CU441" s="41"/>
      <c r="CV441" s="41"/>
      <c r="CW441" s="41"/>
      <c r="CX441" s="41"/>
      <c r="CY441" s="41"/>
      <c r="CZ441" s="41"/>
      <c r="DA441" s="41"/>
      <c r="DB441" s="41"/>
      <c r="DC441" s="41"/>
      <c r="DD441" s="41"/>
      <c r="DE441" s="41"/>
      <c r="DF441" s="41"/>
      <c r="DG441" s="41"/>
      <c r="DH441" s="41"/>
      <c r="DI441" s="41"/>
      <c r="DJ441" s="41"/>
      <c r="DK441" s="41"/>
      <c r="DL441" s="41"/>
      <c r="DM441" s="41"/>
      <c r="DN441" s="41"/>
      <c r="DO441" s="41"/>
      <c r="DP441" s="41"/>
      <c r="DQ441" s="41"/>
      <c r="DR441" s="41"/>
      <c r="DS441" s="41"/>
      <c r="DT441" s="41"/>
      <c r="DU441" s="41"/>
      <c r="DV441" s="41"/>
      <c r="DW441" s="41"/>
      <c r="DX441" s="41"/>
    </row>
    <row r="442" spans="1:128" s="75" customFormat="1" ht="15.75" hidden="1" x14ac:dyDescent="0.25">
      <c r="A442" s="86" t="s">
        <v>863</v>
      </c>
      <c r="B442" s="87"/>
      <c r="C442" s="76" t="s">
        <v>12</v>
      </c>
      <c r="D442" s="85" t="s">
        <v>874</v>
      </c>
      <c r="E442" s="178">
        <v>118895.32</v>
      </c>
      <c r="F442" s="174"/>
      <c r="G442" s="198">
        <f t="shared" si="11"/>
        <v>75361461.129250109</v>
      </c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1"/>
      <c r="BD442" s="41"/>
      <c r="BE442" s="41"/>
      <c r="BF442" s="41"/>
      <c r="BG442" s="41"/>
      <c r="BH442" s="41"/>
      <c r="BI442" s="41"/>
      <c r="BJ442" s="41"/>
      <c r="BK442" s="41"/>
      <c r="BL442" s="41"/>
      <c r="BM442" s="41"/>
      <c r="BN442" s="41"/>
      <c r="BO442" s="41"/>
      <c r="BP442" s="41"/>
      <c r="BQ442" s="41"/>
      <c r="BR442" s="41"/>
      <c r="BS442" s="41"/>
      <c r="BT442" s="41"/>
      <c r="BU442" s="41"/>
      <c r="BV442" s="41"/>
      <c r="BW442" s="41"/>
      <c r="BX442" s="41"/>
      <c r="BY442" s="41"/>
      <c r="BZ442" s="41"/>
      <c r="CA442" s="41"/>
      <c r="CB442" s="41"/>
      <c r="CC442" s="41"/>
      <c r="CD442" s="41"/>
      <c r="CE442" s="41"/>
      <c r="CF442" s="41"/>
      <c r="CG442" s="41"/>
      <c r="CH442" s="41"/>
      <c r="CI442" s="41"/>
      <c r="CJ442" s="41"/>
      <c r="CK442" s="41"/>
      <c r="CL442" s="41"/>
      <c r="CM442" s="41"/>
      <c r="CN442" s="41"/>
      <c r="CO442" s="41"/>
      <c r="CP442" s="41"/>
      <c r="CQ442" s="41"/>
      <c r="CR442" s="41"/>
      <c r="CS442" s="41"/>
      <c r="CT442" s="41"/>
      <c r="CU442" s="41"/>
      <c r="CV442" s="41"/>
      <c r="CW442" s="41"/>
      <c r="CX442" s="41"/>
      <c r="CY442" s="41"/>
      <c r="CZ442" s="41"/>
      <c r="DA442" s="41"/>
      <c r="DB442" s="41"/>
      <c r="DC442" s="41"/>
      <c r="DD442" s="41"/>
      <c r="DE442" s="41"/>
      <c r="DF442" s="41"/>
      <c r="DG442" s="41"/>
      <c r="DH442" s="41"/>
      <c r="DI442" s="41"/>
      <c r="DJ442" s="41"/>
      <c r="DK442" s="41"/>
      <c r="DL442" s="41"/>
      <c r="DM442" s="41"/>
      <c r="DN442" s="41"/>
      <c r="DO442" s="41"/>
      <c r="DP442" s="41"/>
      <c r="DQ442" s="41"/>
      <c r="DR442" s="41"/>
      <c r="DS442" s="41"/>
      <c r="DT442" s="41"/>
      <c r="DU442" s="41"/>
      <c r="DV442" s="41"/>
      <c r="DW442" s="41"/>
      <c r="DX442" s="41"/>
    </row>
    <row r="443" spans="1:128" s="75" customFormat="1" ht="15.75" hidden="1" x14ac:dyDescent="0.25">
      <c r="A443" s="86" t="s">
        <v>863</v>
      </c>
      <c r="B443" s="87"/>
      <c r="C443" s="76" t="s">
        <v>12</v>
      </c>
      <c r="D443" s="85" t="s">
        <v>398</v>
      </c>
      <c r="E443" s="178">
        <v>83740.960000000006</v>
      </c>
      <c r="F443" s="174"/>
      <c r="G443" s="198">
        <f t="shared" si="11"/>
        <v>75445202.089250103</v>
      </c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  <c r="BF443" s="41"/>
      <c r="BG443" s="41"/>
      <c r="BH443" s="41"/>
      <c r="BI443" s="41"/>
      <c r="BJ443" s="41"/>
      <c r="BK443" s="41"/>
      <c r="BL443" s="41"/>
      <c r="BM443" s="41"/>
      <c r="BN443" s="41"/>
      <c r="BO443" s="41"/>
      <c r="BP443" s="41"/>
      <c r="BQ443" s="41"/>
      <c r="BR443" s="41"/>
      <c r="BS443" s="41"/>
      <c r="BT443" s="41"/>
      <c r="BU443" s="41"/>
      <c r="BV443" s="41"/>
      <c r="BW443" s="41"/>
      <c r="BX443" s="41"/>
      <c r="BY443" s="41"/>
      <c r="BZ443" s="41"/>
      <c r="CA443" s="41"/>
      <c r="CB443" s="41"/>
      <c r="CC443" s="41"/>
      <c r="CD443" s="41"/>
      <c r="CE443" s="41"/>
      <c r="CF443" s="41"/>
      <c r="CG443" s="41"/>
      <c r="CH443" s="41"/>
      <c r="CI443" s="41"/>
      <c r="CJ443" s="41"/>
      <c r="CK443" s="41"/>
      <c r="CL443" s="41"/>
      <c r="CM443" s="41"/>
      <c r="CN443" s="41"/>
      <c r="CO443" s="41"/>
      <c r="CP443" s="41"/>
      <c r="CQ443" s="41"/>
      <c r="CR443" s="41"/>
      <c r="CS443" s="41"/>
      <c r="CT443" s="41"/>
      <c r="CU443" s="41"/>
      <c r="CV443" s="41"/>
      <c r="CW443" s="41"/>
      <c r="CX443" s="41"/>
      <c r="CY443" s="41"/>
      <c r="CZ443" s="41"/>
      <c r="DA443" s="41"/>
      <c r="DB443" s="41"/>
      <c r="DC443" s="41"/>
      <c r="DD443" s="41"/>
      <c r="DE443" s="41"/>
      <c r="DF443" s="41"/>
      <c r="DG443" s="41"/>
      <c r="DH443" s="41"/>
      <c r="DI443" s="41"/>
      <c r="DJ443" s="41"/>
      <c r="DK443" s="41"/>
      <c r="DL443" s="41"/>
      <c r="DM443" s="41"/>
      <c r="DN443" s="41"/>
      <c r="DO443" s="41"/>
      <c r="DP443" s="41"/>
      <c r="DQ443" s="41"/>
      <c r="DR443" s="41"/>
      <c r="DS443" s="41"/>
      <c r="DT443" s="41"/>
      <c r="DU443" s="41"/>
      <c r="DV443" s="41"/>
      <c r="DW443" s="41"/>
      <c r="DX443" s="41"/>
    </row>
    <row r="444" spans="1:128" s="75" customFormat="1" ht="15.75" hidden="1" x14ac:dyDescent="0.25">
      <c r="A444" s="86" t="s">
        <v>863</v>
      </c>
      <c r="B444" s="87"/>
      <c r="C444" s="76" t="s">
        <v>12</v>
      </c>
      <c r="D444" s="85" t="s">
        <v>398</v>
      </c>
      <c r="E444" s="178">
        <v>10032.26</v>
      </c>
      <c r="F444" s="174"/>
      <c r="G444" s="198">
        <f t="shared" si="11"/>
        <v>75455234.349250108</v>
      </c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1"/>
      <c r="BD444" s="41"/>
      <c r="BE444" s="41"/>
      <c r="BF444" s="41"/>
      <c r="BG444" s="41"/>
      <c r="BH444" s="41"/>
      <c r="BI444" s="41"/>
      <c r="BJ444" s="41"/>
      <c r="BK444" s="41"/>
      <c r="BL444" s="41"/>
      <c r="BM444" s="41"/>
      <c r="BN444" s="41"/>
      <c r="BO444" s="41"/>
      <c r="BP444" s="41"/>
      <c r="BQ444" s="41"/>
      <c r="BR444" s="41"/>
      <c r="BS444" s="41"/>
      <c r="BT444" s="41"/>
      <c r="BU444" s="41"/>
      <c r="BV444" s="41"/>
      <c r="BW444" s="41"/>
      <c r="BX444" s="41"/>
      <c r="BY444" s="41"/>
      <c r="BZ444" s="41"/>
      <c r="CA444" s="41"/>
      <c r="CB444" s="41"/>
      <c r="CC444" s="41"/>
      <c r="CD444" s="41"/>
      <c r="CE444" s="41"/>
      <c r="CF444" s="41"/>
      <c r="CG444" s="41"/>
      <c r="CH444" s="41"/>
      <c r="CI444" s="41"/>
      <c r="CJ444" s="41"/>
      <c r="CK444" s="41"/>
      <c r="CL444" s="41"/>
      <c r="CM444" s="41"/>
      <c r="CN444" s="41"/>
      <c r="CO444" s="41"/>
      <c r="CP444" s="41"/>
      <c r="CQ444" s="41"/>
      <c r="CR444" s="41"/>
      <c r="CS444" s="41"/>
      <c r="CT444" s="41"/>
      <c r="CU444" s="41"/>
      <c r="CV444" s="41"/>
      <c r="CW444" s="41"/>
      <c r="CX444" s="41"/>
      <c r="CY444" s="41"/>
      <c r="CZ444" s="41"/>
      <c r="DA444" s="41"/>
      <c r="DB444" s="41"/>
      <c r="DC444" s="41"/>
      <c r="DD444" s="41"/>
      <c r="DE444" s="41"/>
      <c r="DF444" s="41"/>
      <c r="DG444" s="41"/>
      <c r="DH444" s="41"/>
      <c r="DI444" s="41"/>
      <c r="DJ444" s="41"/>
      <c r="DK444" s="41"/>
      <c r="DL444" s="41"/>
      <c r="DM444" s="41"/>
      <c r="DN444" s="41"/>
      <c r="DO444" s="41"/>
      <c r="DP444" s="41"/>
      <c r="DQ444" s="41"/>
      <c r="DR444" s="41"/>
      <c r="DS444" s="41"/>
      <c r="DT444" s="41"/>
      <c r="DU444" s="41"/>
      <c r="DV444" s="41"/>
      <c r="DW444" s="41"/>
      <c r="DX444" s="41"/>
    </row>
    <row r="445" spans="1:128" s="75" customFormat="1" ht="32.25" hidden="1" customHeight="1" x14ac:dyDescent="0.25">
      <c r="A445" s="86" t="s">
        <v>863</v>
      </c>
      <c r="B445" s="207" t="s">
        <v>864</v>
      </c>
      <c r="C445" s="76" t="s">
        <v>865</v>
      </c>
      <c r="D445" s="85" t="s">
        <v>866</v>
      </c>
      <c r="E445" s="178"/>
      <c r="F445" s="174">
        <v>1442473.92</v>
      </c>
      <c r="G445" s="198">
        <f t="shared" si="11"/>
        <v>74012760.429250106</v>
      </c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1"/>
      <c r="AZ445" s="41"/>
      <c r="BA445" s="41"/>
      <c r="BB445" s="41"/>
      <c r="BC445" s="41"/>
      <c r="BD445" s="41"/>
      <c r="BE445" s="41"/>
      <c r="BF445" s="41"/>
      <c r="BG445" s="41"/>
      <c r="BH445" s="41"/>
      <c r="BI445" s="41"/>
      <c r="BJ445" s="41"/>
      <c r="BK445" s="41"/>
      <c r="BL445" s="41"/>
      <c r="BM445" s="41"/>
      <c r="BN445" s="41"/>
      <c r="BO445" s="41"/>
      <c r="BP445" s="41"/>
      <c r="BQ445" s="41"/>
      <c r="BR445" s="41"/>
      <c r="BS445" s="41"/>
      <c r="BT445" s="41"/>
      <c r="BU445" s="41"/>
      <c r="BV445" s="41"/>
      <c r="BW445" s="41"/>
      <c r="BX445" s="41"/>
      <c r="BY445" s="41"/>
      <c r="BZ445" s="41"/>
      <c r="CA445" s="41"/>
      <c r="CB445" s="41"/>
      <c r="CC445" s="41"/>
      <c r="CD445" s="41"/>
      <c r="CE445" s="41"/>
      <c r="CF445" s="41"/>
      <c r="CG445" s="41"/>
      <c r="CH445" s="41"/>
      <c r="CI445" s="41"/>
      <c r="CJ445" s="41"/>
      <c r="CK445" s="41"/>
      <c r="CL445" s="41"/>
      <c r="CM445" s="41"/>
      <c r="CN445" s="41"/>
      <c r="CO445" s="41"/>
      <c r="CP445" s="41"/>
      <c r="CQ445" s="41"/>
      <c r="CR445" s="41"/>
      <c r="CS445" s="41"/>
      <c r="CT445" s="41"/>
      <c r="CU445" s="41"/>
      <c r="CV445" s="41"/>
      <c r="CW445" s="41"/>
      <c r="CX445" s="41"/>
      <c r="CY445" s="41"/>
      <c r="CZ445" s="41"/>
      <c r="DA445" s="41"/>
      <c r="DB445" s="41"/>
      <c r="DC445" s="41"/>
      <c r="DD445" s="41"/>
      <c r="DE445" s="41"/>
      <c r="DF445" s="41"/>
      <c r="DG445" s="41"/>
      <c r="DH445" s="41"/>
      <c r="DI445" s="41"/>
      <c r="DJ445" s="41"/>
      <c r="DK445" s="41"/>
      <c r="DL445" s="41"/>
      <c r="DM445" s="41"/>
      <c r="DN445" s="41"/>
      <c r="DO445" s="41"/>
      <c r="DP445" s="41"/>
      <c r="DQ445" s="41"/>
      <c r="DR445" s="41"/>
      <c r="DS445" s="41"/>
      <c r="DT445" s="41"/>
      <c r="DU445" s="41"/>
      <c r="DV445" s="41"/>
      <c r="DW445" s="41"/>
      <c r="DX445" s="41"/>
    </row>
    <row r="446" spans="1:128" s="75" customFormat="1" ht="15.75" hidden="1" x14ac:dyDescent="0.25">
      <c r="A446" s="86" t="s">
        <v>863</v>
      </c>
      <c r="B446" s="207" t="s">
        <v>867</v>
      </c>
      <c r="C446" s="76" t="s">
        <v>47</v>
      </c>
      <c r="D446" s="85" t="s">
        <v>868</v>
      </c>
      <c r="E446" s="178"/>
      <c r="F446" s="174">
        <v>18000</v>
      </c>
      <c r="G446" s="198">
        <f t="shared" si="11"/>
        <v>73994760.429250106</v>
      </c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1"/>
      <c r="BD446" s="41"/>
      <c r="BE446" s="41"/>
      <c r="BF446" s="41"/>
      <c r="BG446" s="41"/>
      <c r="BH446" s="41"/>
      <c r="BI446" s="41"/>
      <c r="BJ446" s="41"/>
      <c r="BK446" s="41"/>
      <c r="BL446" s="41"/>
      <c r="BM446" s="41"/>
      <c r="BN446" s="41"/>
      <c r="BO446" s="41"/>
      <c r="BP446" s="41"/>
      <c r="BQ446" s="41"/>
      <c r="BR446" s="41"/>
      <c r="BS446" s="41"/>
      <c r="BT446" s="41"/>
      <c r="BU446" s="41"/>
      <c r="BV446" s="41"/>
      <c r="BW446" s="41"/>
      <c r="BX446" s="41"/>
      <c r="BY446" s="41"/>
      <c r="BZ446" s="41"/>
      <c r="CA446" s="41"/>
      <c r="CB446" s="41"/>
      <c r="CC446" s="41"/>
      <c r="CD446" s="41"/>
      <c r="CE446" s="41"/>
      <c r="CF446" s="41"/>
      <c r="CG446" s="41"/>
      <c r="CH446" s="41"/>
      <c r="CI446" s="41"/>
      <c r="CJ446" s="41"/>
      <c r="CK446" s="41"/>
      <c r="CL446" s="41"/>
      <c r="CM446" s="41"/>
      <c r="CN446" s="41"/>
      <c r="CO446" s="41"/>
      <c r="CP446" s="41"/>
      <c r="CQ446" s="41"/>
      <c r="CR446" s="41"/>
      <c r="CS446" s="41"/>
      <c r="CT446" s="41"/>
      <c r="CU446" s="41"/>
      <c r="CV446" s="41"/>
      <c r="CW446" s="41"/>
      <c r="CX446" s="41"/>
      <c r="CY446" s="41"/>
      <c r="CZ446" s="41"/>
      <c r="DA446" s="41"/>
      <c r="DB446" s="41"/>
      <c r="DC446" s="41"/>
      <c r="DD446" s="41"/>
      <c r="DE446" s="41"/>
      <c r="DF446" s="41"/>
      <c r="DG446" s="41"/>
      <c r="DH446" s="41"/>
      <c r="DI446" s="41"/>
      <c r="DJ446" s="41"/>
      <c r="DK446" s="41"/>
      <c r="DL446" s="41"/>
      <c r="DM446" s="41"/>
      <c r="DN446" s="41"/>
      <c r="DO446" s="41"/>
      <c r="DP446" s="41"/>
      <c r="DQ446" s="41"/>
      <c r="DR446" s="41"/>
      <c r="DS446" s="41"/>
      <c r="DT446" s="41"/>
      <c r="DU446" s="41"/>
      <c r="DV446" s="41"/>
      <c r="DW446" s="41"/>
      <c r="DX446" s="41"/>
    </row>
    <row r="447" spans="1:128" s="75" customFormat="1" ht="31.5" hidden="1" x14ac:dyDescent="0.25">
      <c r="A447" s="86" t="s">
        <v>863</v>
      </c>
      <c r="B447" s="207" t="s">
        <v>869</v>
      </c>
      <c r="C447" s="85" t="s">
        <v>870</v>
      </c>
      <c r="D447" s="85" t="s">
        <v>871</v>
      </c>
      <c r="E447" s="178"/>
      <c r="F447" s="174">
        <v>129724</v>
      </c>
      <c r="G447" s="198">
        <f t="shared" si="11"/>
        <v>73865036.429250106</v>
      </c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  <c r="BF447" s="41"/>
      <c r="BG447" s="41"/>
      <c r="BH447" s="41"/>
      <c r="BI447" s="41"/>
      <c r="BJ447" s="41"/>
      <c r="BK447" s="41"/>
      <c r="BL447" s="41"/>
      <c r="BM447" s="41"/>
      <c r="BN447" s="41"/>
      <c r="BO447" s="41"/>
      <c r="BP447" s="41"/>
      <c r="BQ447" s="41"/>
      <c r="BR447" s="41"/>
      <c r="BS447" s="41"/>
      <c r="BT447" s="41"/>
      <c r="BU447" s="41"/>
      <c r="BV447" s="41"/>
      <c r="BW447" s="41"/>
      <c r="BX447" s="41"/>
      <c r="BY447" s="41"/>
      <c r="BZ447" s="41"/>
      <c r="CA447" s="41"/>
      <c r="CB447" s="41"/>
      <c r="CC447" s="41"/>
      <c r="CD447" s="41"/>
      <c r="CE447" s="41"/>
      <c r="CF447" s="41"/>
      <c r="CG447" s="41"/>
      <c r="CH447" s="41"/>
      <c r="CI447" s="41"/>
      <c r="CJ447" s="41"/>
      <c r="CK447" s="41"/>
      <c r="CL447" s="41"/>
      <c r="CM447" s="41"/>
      <c r="CN447" s="41"/>
      <c r="CO447" s="41"/>
      <c r="CP447" s="41"/>
      <c r="CQ447" s="41"/>
      <c r="CR447" s="41"/>
      <c r="CS447" s="41"/>
      <c r="CT447" s="41"/>
      <c r="CU447" s="41"/>
      <c r="CV447" s="41"/>
      <c r="CW447" s="41"/>
      <c r="CX447" s="41"/>
      <c r="CY447" s="41"/>
      <c r="CZ447" s="41"/>
      <c r="DA447" s="41"/>
      <c r="DB447" s="41"/>
      <c r="DC447" s="41"/>
      <c r="DD447" s="41"/>
      <c r="DE447" s="41"/>
      <c r="DF447" s="41"/>
      <c r="DG447" s="41"/>
      <c r="DH447" s="41"/>
      <c r="DI447" s="41"/>
      <c r="DJ447" s="41"/>
      <c r="DK447" s="41"/>
      <c r="DL447" s="41"/>
      <c r="DM447" s="41"/>
      <c r="DN447" s="41"/>
      <c r="DO447" s="41"/>
      <c r="DP447" s="41"/>
      <c r="DQ447" s="41"/>
      <c r="DR447" s="41"/>
      <c r="DS447" s="41"/>
      <c r="DT447" s="41"/>
      <c r="DU447" s="41"/>
      <c r="DV447" s="41"/>
      <c r="DW447" s="41"/>
      <c r="DX447" s="41"/>
    </row>
    <row r="448" spans="1:128" s="75" customFormat="1" ht="31.5" hidden="1" x14ac:dyDescent="0.25">
      <c r="A448" s="86" t="s">
        <v>863</v>
      </c>
      <c r="B448" s="207" t="s">
        <v>872</v>
      </c>
      <c r="C448" s="85" t="s">
        <v>96</v>
      </c>
      <c r="D448" s="85" t="s">
        <v>873</v>
      </c>
      <c r="E448" s="178"/>
      <c r="F448" s="174">
        <v>157296</v>
      </c>
      <c r="G448" s="199">
        <f t="shared" si="11"/>
        <v>73707740.429250106</v>
      </c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1"/>
      <c r="BD448" s="41"/>
      <c r="BE448" s="41"/>
      <c r="BF448" s="41"/>
      <c r="BG448" s="41"/>
      <c r="BH448" s="41"/>
      <c r="BI448" s="41"/>
      <c r="BJ448" s="41"/>
      <c r="BK448" s="41"/>
      <c r="BL448" s="41"/>
      <c r="BM448" s="41"/>
      <c r="BN448" s="41"/>
      <c r="BO448" s="41"/>
      <c r="BP448" s="41"/>
      <c r="BQ448" s="41"/>
      <c r="BR448" s="41"/>
      <c r="BS448" s="41"/>
      <c r="BT448" s="41"/>
      <c r="BU448" s="41"/>
      <c r="BV448" s="41"/>
      <c r="BW448" s="41"/>
      <c r="BX448" s="41"/>
      <c r="BY448" s="41"/>
      <c r="BZ448" s="41"/>
      <c r="CA448" s="41"/>
      <c r="CB448" s="41"/>
      <c r="CC448" s="41"/>
      <c r="CD448" s="41"/>
      <c r="CE448" s="41"/>
      <c r="CF448" s="41"/>
      <c r="CG448" s="41"/>
      <c r="CH448" s="41"/>
      <c r="CI448" s="41"/>
      <c r="CJ448" s="41"/>
      <c r="CK448" s="41"/>
      <c r="CL448" s="41"/>
      <c r="CM448" s="41"/>
      <c r="CN448" s="41"/>
      <c r="CO448" s="41"/>
      <c r="CP448" s="41"/>
      <c r="CQ448" s="41"/>
      <c r="CR448" s="41"/>
      <c r="CS448" s="41"/>
      <c r="CT448" s="41"/>
      <c r="CU448" s="41"/>
      <c r="CV448" s="41"/>
      <c r="CW448" s="41"/>
      <c r="CX448" s="41"/>
      <c r="CY448" s="41"/>
      <c r="CZ448" s="41"/>
      <c r="DA448" s="41"/>
      <c r="DB448" s="41"/>
      <c r="DC448" s="41"/>
      <c r="DD448" s="41"/>
      <c r="DE448" s="41"/>
      <c r="DF448" s="41"/>
      <c r="DG448" s="41"/>
      <c r="DH448" s="41"/>
      <c r="DI448" s="41"/>
      <c r="DJ448" s="41"/>
      <c r="DK448" s="41"/>
      <c r="DL448" s="41"/>
      <c r="DM448" s="41"/>
      <c r="DN448" s="41"/>
      <c r="DO448" s="41"/>
      <c r="DP448" s="41"/>
      <c r="DQ448" s="41"/>
      <c r="DR448" s="41"/>
      <c r="DS448" s="41"/>
      <c r="DT448" s="41"/>
      <c r="DU448" s="41"/>
      <c r="DV448" s="41"/>
      <c r="DW448" s="41"/>
      <c r="DX448" s="41"/>
    </row>
    <row r="449" spans="1:128" s="75" customFormat="1" ht="15.75" hidden="1" x14ac:dyDescent="0.25">
      <c r="A449" s="86" t="s">
        <v>876</v>
      </c>
      <c r="B449" s="87"/>
      <c r="C449" s="85" t="s">
        <v>13</v>
      </c>
      <c r="D449" s="85" t="s">
        <v>22</v>
      </c>
      <c r="E449" s="178">
        <f>30007</f>
        <v>30007</v>
      </c>
      <c r="F449" s="174"/>
      <c r="G449" s="198">
        <f t="shared" si="11"/>
        <v>73737747.429250106</v>
      </c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1"/>
      <c r="BD449" s="41"/>
      <c r="BE449" s="41"/>
      <c r="BF449" s="41"/>
      <c r="BG449" s="41"/>
      <c r="BH449" s="41"/>
      <c r="BI449" s="41"/>
      <c r="BJ449" s="41"/>
      <c r="BK449" s="41"/>
      <c r="BL449" s="41"/>
      <c r="BM449" s="41"/>
      <c r="BN449" s="41"/>
      <c r="BO449" s="41"/>
      <c r="BP449" s="41"/>
      <c r="BQ449" s="41"/>
      <c r="BR449" s="41"/>
      <c r="BS449" s="41"/>
      <c r="BT449" s="41"/>
      <c r="BU449" s="41"/>
      <c r="BV449" s="41"/>
      <c r="BW449" s="41"/>
      <c r="BX449" s="41"/>
      <c r="BY449" s="41"/>
      <c r="BZ449" s="41"/>
      <c r="CA449" s="41"/>
      <c r="CB449" s="41"/>
      <c r="CC449" s="41"/>
      <c r="CD449" s="41"/>
      <c r="CE449" s="41"/>
      <c r="CF449" s="41"/>
      <c r="CG449" s="41"/>
      <c r="CH449" s="41"/>
      <c r="CI449" s="41"/>
      <c r="CJ449" s="41"/>
      <c r="CK449" s="41"/>
      <c r="CL449" s="41"/>
      <c r="CM449" s="41"/>
      <c r="CN449" s="41"/>
      <c r="CO449" s="41"/>
      <c r="CP449" s="41"/>
      <c r="CQ449" s="41"/>
      <c r="CR449" s="41"/>
      <c r="CS449" s="41"/>
      <c r="CT449" s="41"/>
      <c r="CU449" s="41"/>
      <c r="CV449" s="41"/>
      <c r="CW449" s="41"/>
      <c r="CX449" s="41"/>
      <c r="CY449" s="41"/>
      <c r="CZ449" s="41"/>
      <c r="DA449" s="41"/>
      <c r="DB449" s="41"/>
      <c r="DC449" s="41"/>
      <c r="DD449" s="41"/>
      <c r="DE449" s="41"/>
      <c r="DF449" s="41"/>
      <c r="DG449" s="41"/>
      <c r="DH449" s="41"/>
      <c r="DI449" s="41"/>
      <c r="DJ449" s="41"/>
      <c r="DK449" s="41"/>
      <c r="DL449" s="41"/>
      <c r="DM449" s="41"/>
      <c r="DN449" s="41"/>
      <c r="DO449" s="41"/>
      <c r="DP449" s="41"/>
      <c r="DQ449" s="41"/>
      <c r="DR449" s="41"/>
      <c r="DS449" s="41"/>
      <c r="DT449" s="41"/>
      <c r="DU449" s="41"/>
      <c r="DV449" s="41"/>
      <c r="DW449" s="41"/>
      <c r="DX449" s="41"/>
    </row>
    <row r="450" spans="1:128" s="75" customFormat="1" ht="15.75" hidden="1" x14ac:dyDescent="0.25">
      <c r="A450" s="86" t="s">
        <v>876</v>
      </c>
      <c r="B450" s="87"/>
      <c r="C450" s="85" t="s">
        <v>13</v>
      </c>
      <c r="D450" s="85" t="s">
        <v>48</v>
      </c>
      <c r="E450" s="178">
        <f>865.4</f>
        <v>865.4</v>
      </c>
      <c r="F450" s="178">
        <f>E450*0.025</f>
        <v>21.635000000000002</v>
      </c>
      <c r="G450" s="198">
        <f t="shared" si="11"/>
        <v>73738591.194250107</v>
      </c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/>
      <c r="BC450" s="41"/>
      <c r="BD450" s="41"/>
      <c r="BE450" s="41"/>
      <c r="BF450" s="41"/>
      <c r="BG450" s="41"/>
      <c r="BH450" s="41"/>
      <c r="BI450" s="41"/>
      <c r="BJ450" s="41"/>
      <c r="BK450" s="41"/>
      <c r="BL450" s="41"/>
      <c r="BM450" s="41"/>
      <c r="BN450" s="41"/>
      <c r="BO450" s="41"/>
      <c r="BP450" s="41"/>
      <c r="BQ450" s="41"/>
      <c r="BR450" s="41"/>
      <c r="BS450" s="41"/>
      <c r="BT450" s="41"/>
      <c r="BU450" s="41"/>
      <c r="BV450" s="41"/>
      <c r="BW450" s="41"/>
      <c r="BX450" s="41"/>
      <c r="BY450" s="41"/>
      <c r="BZ450" s="41"/>
      <c r="CA450" s="41"/>
      <c r="CB450" s="41"/>
      <c r="CC450" s="41"/>
      <c r="CD450" s="41"/>
      <c r="CE450" s="41"/>
      <c r="CF450" s="41"/>
      <c r="CG450" s="41"/>
      <c r="CH450" s="41"/>
      <c r="CI450" s="41"/>
      <c r="CJ450" s="41"/>
      <c r="CK450" s="41"/>
      <c r="CL450" s="41"/>
      <c r="CM450" s="41"/>
      <c r="CN450" s="41"/>
      <c r="CO450" s="41"/>
      <c r="CP450" s="41"/>
      <c r="CQ450" s="41"/>
      <c r="CR450" s="41"/>
      <c r="CS450" s="41"/>
      <c r="CT450" s="41"/>
      <c r="CU450" s="41"/>
      <c r="CV450" s="41"/>
      <c r="CW450" s="41"/>
      <c r="CX450" s="41"/>
      <c r="CY450" s="41"/>
      <c r="CZ450" s="41"/>
      <c r="DA450" s="41"/>
      <c r="DB450" s="41"/>
      <c r="DC450" s="41"/>
      <c r="DD450" s="41"/>
      <c r="DE450" s="41"/>
      <c r="DF450" s="41"/>
      <c r="DG450" s="41"/>
      <c r="DH450" s="41"/>
      <c r="DI450" s="41"/>
      <c r="DJ450" s="41"/>
      <c r="DK450" s="41"/>
      <c r="DL450" s="41"/>
      <c r="DM450" s="41"/>
      <c r="DN450" s="41"/>
      <c r="DO450" s="41"/>
      <c r="DP450" s="41"/>
      <c r="DQ450" s="41"/>
      <c r="DR450" s="41"/>
      <c r="DS450" s="41"/>
      <c r="DT450" s="41"/>
      <c r="DU450" s="41"/>
      <c r="DV450" s="41"/>
      <c r="DW450" s="41"/>
      <c r="DX450" s="41"/>
    </row>
    <row r="451" spans="1:128" s="75" customFormat="1" ht="20.25" hidden="1" customHeight="1" x14ac:dyDescent="0.25">
      <c r="A451" s="86" t="s">
        <v>876</v>
      </c>
      <c r="B451" s="87"/>
      <c r="C451" s="85" t="s">
        <v>13</v>
      </c>
      <c r="D451" s="85" t="s">
        <v>48</v>
      </c>
      <c r="E451" s="178">
        <v>300</v>
      </c>
      <c r="F451" s="178">
        <f>E451*0.025</f>
        <v>7.5</v>
      </c>
      <c r="G451" s="198">
        <f t="shared" si="11"/>
        <v>73738883.694250107</v>
      </c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  <c r="BF451" s="41"/>
      <c r="BG451" s="41"/>
      <c r="BH451" s="41"/>
      <c r="BI451" s="41"/>
      <c r="BJ451" s="41"/>
      <c r="BK451" s="41"/>
      <c r="BL451" s="41"/>
      <c r="BM451" s="41"/>
      <c r="BN451" s="41"/>
      <c r="BO451" s="41"/>
      <c r="BP451" s="41"/>
      <c r="BQ451" s="41"/>
      <c r="BR451" s="41"/>
      <c r="BS451" s="41"/>
      <c r="BT451" s="41"/>
      <c r="BU451" s="41"/>
      <c r="BV451" s="41"/>
      <c r="BW451" s="41"/>
      <c r="BX451" s="41"/>
      <c r="BY451" s="41"/>
      <c r="BZ451" s="41"/>
      <c r="CA451" s="41"/>
      <c r="CB451" s="41"/>
      <c r="CC451" s="41"/>
      <c r="CD451" s="41"/>
      <c r="CE451" s="41"/>
      <c r="CF451" s="41"/>
      <c r="CG451" s="41"/>
      <c r="CH451" s="41"/>
      <c r="CI451" s="41"/>
      <c r="CJ451" s="41"/>
      <c r="CK451" s="41"/>
      <c r="CL451" s="41"/>
      <c r="CM451" s="41"/>
      <c r="CN451" s="41"/>
      <c r="CO451" s="41"/>
      <c r="CP451" s="41"/>
      <c r="CQ451" s="41"/>
      <c r="CR451" s="41"/>
      <c r="CS451" s="41"/>
      <c r="CT451" s="41"/>
      <c r="CU451" s="41"/>
      <c r="CV451" s="41"/>
      <c r="CW451" s="41"/>
      <c r="CX451" s="41"/>
      <c r="CY451" s="41"/>
      <c r="CZ451" s="41"/>
      <c r="DA451" s="41"/>
      <c r="DB451" s="41"/>
      <c r="DC451" s="41"/>
      <c r="DD451" s="41"/>
      <c r="DE451" s="41"/>
      <c r="DF451" s="41"/>
      <c r="DG451" s="41"/>
      <c r="DH451" s="41"/>
      <c r="DI451" s="41"/>
      <c r="DJ451" s="41"/>
      <c r="DK451" s="41"/>
      <c r="DL451" s="41"/>
      <c r="DM451" s="41"/>
      <c r="DN451" s="41"/>
      <c r="DO451" s="41"/>
      <c r="DP451" s="41"/>
      <c r="DQ451" s="41"/>
      <c r="DR451" s="41"/>
      <c r="DS451" s="41"/>
      <c r="DT451" s="41"/>
      <c r="DU451" s="41"/>
      <c r="DV451" s="41"/>
      <c r="DW451" s="41"/>
      <c r="DX451" s="41"/>
    </row>
    <row r="452" spans="1:128" s="75" customFormat="1" ht="19.5" hidden="1" customHeight="1" x14ac:dyDescent="0.25">
      <c r="A452" s="86" t="s">
        <v>876</v>
      </c>
      <c r="B452" s="87"/>
      <c r="C452" s="85" t="s">
        <v>13</v>
      </c>
      <c r="D452" s="85" t="s">
        <v>48</v>
      </c>
      <c r="E452" s="178">
        <v>2300</v>
      </c>
      <c r="F452" s="178">
        <f>E452*0.025</f>
        <v>57.5</v>
      </c>
      <c r="G452" s="198">
        <f t="shared" si="11"/>
        <v>73741126.194250107</v>
      </c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1"/>
      <c r="AZ452" s="41"/>
      <c r="BA452" s="41"/>
      <c r="BB452" s="41"/>
      <c r="BC452" s="41"/>
      <c r="BD452" s="41"/>
      <c r="BE452" s="41"/>
      <c r="BF452" s="41"/>
      <c r="BG452" s="41"/>
      <c r="BH452" s="41"/>
      <c r="BI452" s="41"/>
      <c r="BJ452" s="41"/>
      <c r="BK452" s="41"/>
      <c r="BL452" s="41"/>
      <c r="BM452" s="41"/>
      <c r="BN452" s="41"/>
      <c r="BO452" s="41"/>
      <c r="BP452" s="41"/>
      <c r="BQ452" s="41"/>
      <c r="BR452" s="41"/>
      <c r="BS452" s="41"/>
      <c r="BT452" s="41"/>
      <c r="BU452" s="41"/>
      <c r="BV452" s="41"/>
      <c r="BW452" s="41"/>
      <c r="BX452" s="41"/>
      <c r="BY452" s="41"/>
      <c r="BZ452" s="41"/>
      <c r="CA452" s="41"/>
      <c r="CB452" s="41"/>
      <c r="CC452" s="41"/>
      <c r="CD452" s="41"/>
      <c r="CE452" s="41"/>
      <c r="CF452" s="41"/>
      <c r="CG452" s="41"/>
      <c r="CH452" s="41"/>
      <c r="CI452" s="41"/>
      <c r="CJ452" s="41"/>
      <c r="CK452" s="41"/>
      <c r="CL452" s="41"/>
      <c r="CM452" s="41"/>
      <c r="CN452" s="41"/>
      <c r="CO452" s="41"/>
      <c r="CP452" s="41"/>
      <c r="CQ452" s="41"/>
      <c r="CR452" s="41"/>
      <c r="CS452" s="41"/>
      <c r="CT452" s="41"/>
      <c r="CU452" s="41"/>
      <c r="CV452" s="41"/>
      <c r="CW452" s="41"/>
      <c r="CX452" s="41"/>
      <c r="CY452" s="41"/>
      <c r="CZ452" s="41"/>
      <c r="DA452" s="41"/>
      <c r="DB452" s="41"/>
      <c r="DC452" s="41"/>
      <c r="DD452" s="41"/>
      <c r="DE452" s="41"/>
      <c r="DF452" s="41"/>
      <c r="DG452" s="41"/>
      <c r="DH452" s="41"/>
      <c r="DI452" s="41"/>
      <c r="DJ452" s="41"/>
      <c r="DK452" s="41"/>
      <c r="DL452" s="41"/>
      <c r="DM452" s="41"/>
      <c r="DN452" s="41"/>
      <c r="DO452" s="41"/>
      <c r="DP452" s="41"/>
      <c r="DQ452" s="41"/>
      <c r="DR452" s="41"/>
      <c r="DS452" s="41"/>
      <c r="DT452" s="41"/>
      <c r="DU452" s="41"/>
      <c r="DV452" s="41"/>
      <c r="DW452" s="41"/>
      <c r="DX452" s="41"/>
    </row>
    <row r="453" spans="1:128" s="75" customFormat="1" ht="19.5" hidden="1" customHeight="1" x14ac:dyDescent="0.25">
      <c r="A453" s="86" t="s">
        <v>876</v>
      </c>
      <c r="B453" s="87"/>
      <c r="C453" s="85" t="s">
        <v>13</v>
      </c>
      <c r="D453" s="85" t="s">
        <v>48</v>
      </c>
      <c r="E453" s="178">
        <v>1574.22</v>
      </c>
      <c r="F453" s="178">
        <f>E453*0.025</f>
        <v>39.355500000000006</v>
      </c>
      <c r="G453" s="198">
        <f t="shared" si="11"/>
        <v>73742661.058750108</v>
      </c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1"/>
      <c r="BD453" s="41"/>
      <c r="BE453" s="41"/>
      <c r="BF453" s="41"/>
      <c r="BG453" s="41"/>
      <c r="BH453" s="41"/>
      <c r="BI453" s="41"/>
      <c r="BJ453" s="41"/>
      <c r="BK453" s="41"/>
      <c r="BL453" s="41"/>
      <c r="BM453" s="41"/>
      <c r="BN453" s="41"/>
      <c r="BO453" s="41"/>
      <c r="BP453" s="41"/>
      <c r="BQ453" s="41"/>
      <c r="BR453" s="41"/>
      <c r="BS453" s="41"/>
      <c r="BT453" s="41"/>
      <c r="BU453" s="41"/>
      <c r="BV453" s="41"/>
      <c r="BW453" s="41"/>
      <c r="BX453" s="41"/>
      <c r="BY453" s="41"/>
      <c r="BZ453" s="41"/>
      <c r="CA453" s="41"/>
      <c r="CB453" s="41"/>
      <c r="CC453" s="41"/>
      <c r="CD453" s="41"/>
      <c r="CE453" s="41"/>
      <c r="CF453" s="41"/>
      <c r="CG453" s="41"/>
      <c r="CH453" s="41"/>
      <c r="CI453" s="41"/>
      <c r="CJ453" s="41"/>
      <c r="CK453" s="41"/>
      <c r="CL453" s="41"/>
      <c r="CM453" s="41"/>
      <c r="CN453" s="41"/>
      <c r="CO453" s="41"/>
      <c r="CP453" s="41"/>
      <c r="CQ453" s="41"/>
      <c r="CR453" s="41"/>
      <c r="CS453" s="41"/>
      <c r="CT453" s="41"/>
      <c r="CU453" s="41"/>
      <c r="CV453" s="41"/>
      <c r="CW453" s="41"/>
      <c r="CX453" s="41"/>
      <c r="CY453" s="41"/>
      <c r="CZ453" s="41"/>
      <c r="DA453" s="41"/>
      <c r="DB453" s="41"/>
      <c r="DC453" s="41"/>
      <c r="DD453" s="41"/>
      <c r="DE453" s="41"/>
      <c r="DF453" s="41"/>
      <c r="DG453" s="41"/>
      <c r="DH453" s="41"/>
      <c r="DI453" s="41"/>
      <c r="DJ453" s="41"/>
      <c r="DK453" s="41"/>
      <c r="DL453" s="41"/>
      <c r="DM453" s="41"/>
      <c r="DN453" s="41"/>
      <c r="DO453" s="41"/>
      <c r="DP453" s="41"/>
      <c r="DQ453" s="41"/>
      <c r="DR453" s="41"/>
      <c r="DS453" s="41"/>
      <c r="DT453" s="41"/>
      <c r="DU453" s="41"/>
      <c r="DV453" s="41"/>
      <c r="DW453" s="41"/>
      <c r="DX453" s="41"/>
    </row>
    <row r="454" spans="1:128" s="75" customFormat="1" ht="19.5" hidden="1" customHeight="1" x14ac:dyDescent="0.25">
      <c r="A454" s="86" t="s">
        <v>876</v>
      </c>
      <c r="B454" s="87"/>
      <c r="C454" s="85" t="s">
        <v>12</v>
      </c>
      <c r="D454" s="85" t="s">
        <v>25</v>
      </c>
      <c r="E454" s="178">
        <v>26009.23</v>
      </c>
      <c r="F454" s="178"/>
      <c r="G454" s="198">
        <f t="shared" si="11"/>
        <v>73768670.288750112</v>
      </c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  <c r="BF454" s="41"/>
      <c r="BG454" s="41"/>
      <c r="BH454" s="41"/>
      <c r="BI454" s="41"/>
      <c r="BJ454" s="41"/>
      <c r="BK454" s="41"/>
      <c r="BL454" s="41"/>
      <c r="BM454" s="41"/>
      <c r="BN454" s="41"/>
      <c r="BO454" s="41"/>
      <c r="BP454" s="41"/>
      <c r="BQ454" s="41"/>
      <c r="BR454" s="41"/>
      <c r="BS454" s="41"/>
      <c r="BT454" s="41"/>
      <c r="BU454" s="41"/>
      <c r="BV454" s="41"/>
      <c r="BW454" s="41"/>
      <c r="BX454" s="41"/>
      <c r="BY454" s="41"/>
      <c r="BZ454" s="41"/>
      <c r="CA454" s="41"/>
      <c r="CB454" s="41"/>
      <c r="CC454" s="41"/>
      <c r="CD454" s="41"/>
      <c r="CE454" s="41"/>
      <c r="CF454" s="41"/>
      <c r="CG454" s="41"/>
      <c r="CH454" s="41"/>
      <c r="CI454" s="41"/>
      <c r="CJ454" s="41"/>
      <c r="CK454" s="41"/>
      <c r="CL454" s="41"/>
      <c r="CM454" s="41"/>
      <c r="CN454" s="41"/>
      <c r="CO454" s="41"/>
      <c r="CP454" s="41"/>
      <c r="CQ454" s="41"/>
      <c r="CR454" s="41"/>
      <c r="CS454" s="41"/>
      <c r="CT454" s="41"/>
      <c r="CU454" s="41"/>
      <c r="CV454" s="41"/>
      <c r="CW454" s="41"/>
      <c r="CX454" s="41"/>
      <c r="CY454" s="41"/>
      <c r="CZ454" s="41"/>
      <c r="DA454" s="41"/>
      <c r="DB454" s="41"/>
      <c r="DC454" s="41"/>
      <c r="DD454" s="41"/>
      <c r="DE454" s="41"/>
      <c r="DF454" s="41"/>
      <c r="DG454" s="41"/>
      <c r="DH454" s="41"/>
      <c r="DI454" s="41"/>
      <c r="DJ454" s="41"/>
      <c r="DK454" s="41"/>
      <c r="DL454" s="41"/>
      <c r="DM454" s="41"/>
      <c r="DN454" s="41"/>
      <c r="DO454" s="41"/>
      <c r="DP454" s="41"/>
      <c r="DQ454" s="41"/>
      <c r="DR454" s="41"/>
      <c r="DS454" s="41"/>
      <c r="DT454" s="41"/>
      <c r="DU454" s="41"/>
      <c r="DV454" s="41"/>
      <c r="DW454" s="41"/>
      <c r="DX454" s="41"/>
    </row>
    <row r="455" spans="1:128" s="75" customFormat="1" ht="19.5" hidden="1" customHeight="1" x14ac:dyDescent="0.25">
      <c r="A455" s="86" t="s">
        <v>876</v>
      </c>
      <c r="B455" s="207" t="s">
        <v>937</v>
      </c>
      <c r="C455" s="85" t="s">
        <v>949</v>
      </c>
      <c r="D455" s="85" t="s">
        <v>933</v>
      </c>
      <c r="E455" s="178"/>
      <c r="F455" s="178">
        <v>575309.49</v>
      </c>
      <c r="G455" s="199">
        <f t="shared" si="11"/>
        <v>73193360.798750117</v>
      </c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  <c r="BF455" s="41"/>
      <c r="BG455" s="41"/>
      <c r="BH455" s="41"/>
      <c r="BI455" s="41"/>
      <c r="BJ455" s="41"/>
      <c r="BK455" s="41"/>
      <c r="BL455" s="41"/>
      <c r="BM455" s="41"/>
      <c r="BN455" s="41"/>
      <c r="BO455" s="41"/>
      <c r="BP455" s="41"/>
      <c r="BQ455" s="41"/>
      <c r="BR455" s="41"/>
      <c r="BS455" s="41"/>
      <c r="BT455" s="41"/>
      <c r="BU455" s="41"/>
      <c r="BV455" s="41"/>
      <c r="BW455" s="41"/>
      <c r="BX455" s="41"/>
      <c r="BY455" s="41"/>
      <c r="BZ455" s="41"/>
      <c r="CA455" s="41"/>
      <c r="CB455" s="41"/>
      <c r="CC455" s="41"/>
      <c r="CD455" s="41"/>
      <c r="CE455" s="41"/>
      <c r="CF455" s="41"/>
      <c r="CG455" s="41"/>
      <c r="CH455" s="41"/>
      <c r="CI455" s="41"/>
      <c r="CJ455" s="41"/>
      <c r="CK455" s="41"/>
      <c r="CL455" s="41"/>
      <c r="CM455" s="41"/>
      <c r="CN455" s="41"/>
      <c r="CO455" s="41"/>
      <c r="CP455" s="41"/>
      <c r="CQ455" s="41"/>
      <c r="CR455" s="41"/>
      <c r="CS455" s="41"/>
      <c r="CT455" s="41"/>
      <c r="CU455" s="41"/>
      <c r="CV455" s="41"/>
      <c r="CW455" s="41"/>
      <c r="CX455" s="41"/>
      <c r="CY455" s="41"/>
      <c r="CZ455" s="41"/>
      <c r="DA455" s="41"/>
      <c r="DB455" s="41"/>
      <c r="DC455" s="41"/>
      <c r="DD455" s="41"/>
      <c r="DE455" s="41"/>
      <c r="DF455" s="41"/>
      <c r="DG455" s="41"/>
      <c r="DH455" s="41"/>
      <c r="DI455" s="41"/>
      <c r="DJ455" s="41"/>
      <c r="DK455" s="41"/>
      <c r="DL455" s="41"/>
      <c r="DM455" s="41"/>
      <c r="DN455" s="41"/>
      <c r="DO455" s="41"/>
      <c r="DP455" s="41"/>
      <c r="DQ455" s="41"/>
      <c r="DR455" s="41"/>
      <c r="DS455" s="41"/>
      <c r="DT455" s="41"/>
      <c r="DU455" s="41"/>
      <c r="DV455" s="41"/>
      <c r="DW455" s="41"/>
      <c r="DX455" s="41"/>
    </row>
    <row r="456" spans="1:128" s="75" customFormat="1" ht="19.5" hidden="1" customHeight="1" x14ac:dyDescent="0.25">
      <c r="A456" s="86" t="s">
        <v>877</v>
      </c>
      <c r="B456" s="87"/>
      <c r="C456" s="85" t="s">
        <v>13</v>
      </c>
      <c r="D456" s="85" t="s">
        <v>22</v>
      </c>
      <c r="E456" s="178">
        <v>51209</v>
      </c>
      <c r="F456" s="178"/>
      <c r="G456" s="198">
        <f t="shared" si="11"/>
        <v>73244569.798750117</v>
      </c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1"/>
      <c r="BD456" s="41"/>
      <c r="BE456" s="41"/>
      <c r="BF456" s="41"/>
      <c r="BG456" s="41"/>
      <c r="BH456" s="41"/>
      <c r="BI456" s="41"/>
      <c r="BJ456" s="41"/>
      <c r="BK456" s="41"/>
      <c r="BL456" s="41"/>
      <c r="BM456" s="41"/>
      <c r="BN456" s="41"/>
      <c r="BO456" s="41"/>
      <c r="BP456" s="41"/>
      <c r="BQ456" s="41"/>
      <c r="BR456" s="41"/>
      <c r="BS456" s="41"/>
      <c r="BT456" s="41"/>
      <c r="BU456" s="41"/>
      <c r="BV456" s="41"/>
      <c r="BW456" s="41"/>
      <c r="BX456" s="41"/>
      <c r="BY456" s="41"/>
      <c r="BZ456" s="41"/>
      <c r="CA456" s="41"/>
      <c r="CB456" s="41"/>
      <c r="CC456" s="41"/>
      <c r="CD456" s="41"/>
      <c r="CE456" s="41"/>
      <c r="CF456" s="41"/>
      <c r="CG456" s="41"/>
      <c r="CH456" s="41"/>
      <c r="CI456" s="41"/>
      <c r="CJ456" s="41"/>
      <c r="CK456" s="41"/>
      <c r="CL456" s="41"/>
      <c r="CM456" s="41"/>
      <c r="CN456" s="41"/>
      <c r="CO456" s="41"/>
      <c r="CP456" s="41"/>
      <c r="CQ456" s="41"/>
      <c r="CR456" s="41"/>
      <c r="CS456" s="41"/>
      <c r="CT456" s="41"/>
      <c r="CU456" s="41"/>
      <c r="CV456" s="41"/>
      <c r="CW456" s="41"/>
      <c r="CX456" s="41"/>
      <c r="CY456" s="41"/>
      <c r="CZ456" s="41"/>
      <c r="DA456" s="41"/>
      <c r="DB456" s="41"/>
      <c r="DC456" s="41"/>
      <c r="DD456" s="41"/>
      <c r="DE456" s="41"/>
      <c r="DF456" s="41"/>
      <c r="DG456" s="41"/>
      <c r="DH456" s="41"/>
      <c r="DI456" s="41"/>
      <c r="DJ456" s="41"/>
      <c r="DK456" s="41"/>
      <c r="DL456" s="41"/>
      <c r="DM456" s="41"/>
      <c r="DN456" s="41"/>
      <c r="DO456" s="41"/>
      <c r="DP456" s="41"/>
      <c r="DQ456" s="41"/>
      <c r="DR456" s="41"/>
      <c r="DS456" s="41"/>
      <c r="DT456" s="41"/>
      <c r="DU456" s="41"/>
      <c r="DV456" s="41"/>
      <c r="DW456" s="41"/>
      <c r="DX456" s="41"/>
    </row>
    <row r="457" spans="1:128" s="75" customFormat="1" ht="19.5" hidden="1" customHeight="1" x14ac:dyDescent="0.25">
      <c r="A457" s="86" t="s">
        <v>877</v>
      </c>
      <c r="B457" s="87"/>
      <c r="C457" s="85" t="s">
        <v>13</v>
      </c>
      <c r="D457" s="85" t="s">
        <v>48</v>
      </c>
      <c r="E457" s="178">
        <v>3000</v>
      </c>
      <c r="F457" s="178">
        <f>E457*0.025</f>
        <v>75</v>
      </c>
      <c r="G457" s="198">
        <f t="shared" ref="G457:G520" si="12">G456+E457-F457</f>
        <v>73247494.798750117</v>
      </c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  <c r="BF457" s="41"/>
      <c r="BG457" s="41"/>
      <c r="BH457" s="41"/>
      <c r="BI457" s="41"/>
      <c r="BJ457" s="41"/>
      <c r="BK457" s="41"/>
      <c r="BL457" s="41"/>
      <c r="BM457" s="41"/>
      <c r="BN457" s="41"/>
      <c r="BO457" s="41"/>
      <c r="BP457" s="41"/>
      <c r="BQ457" s="41"/>
      <c r="BR457" s="41"/>
      <c r="BS457" s="41"/>
      <c r="BT457" s="41"/>
      <c r="BU457" s="41"/>
      <c r="BV457" s="41"/>
      <c r="BW457" s="41"/>
      <c r="BX457" s="41"/>
      <c r="BY457" s="41"/>
      <c r="BZ457" s="41"/>
      <c r="CA457" s="41"/>
      <c r="CB457" s="41"/>
      <c r="CC457" s="41"/>
      <c r="CD457" s="41"/>
      <c r="CE457" s="41"/>
      <c r="CF457" s="41"/>
      <c r="CG457" s="41"/>
      <c r="CH457" s="41"/>
      <c r="CI457" s="41"/>
      <c r="CJ457" s="41"/>
      <c r="CK457" s="41"/>
      <c r="CL457" s="41"/>
      <c r="CM457" s="41"/>
      <c r="CN457" s="41"/>
      <c r="CO457" s="41"/>
      <c r="CP457" s="41"/>
      <c r="CQ457" s="41"/>
      <c r="CR457" s="41"/>
      <c r="CS457" s="41"/>
      <c r="CT457" s="41"/>
      <c r="CU457" s="41"/>
      <c r="CV457" s="41"/>
      <c r="CW457" s="41"/>
      <c r="CX457" s="41"/>
      <c r="CY457" s="41"/>
      <c r="CZ457" s="41"/>
      <c r="DA457" s="41"/>
      <c r="DB457" s="41"/>
      <c r="DC457" s="41"/>
      <c r="DD457" s="41"/>
      <c r="DE457" s="41"/>
      <c r="DF457" s="41"/>
      <c r="DG457" s="41"/>
      <c r="DH457" s="41"/>
      <c r="DI457" s="41"/>
      <c r="DJ457" s="41"/>
      <c r="DK457" s="41"/>
      <c r="DL457" s="41"/>
      <c r="DM457" s="41"/>
      <c r="DN457" s="41"/>
      <c r="DO457" s="41"/>
      <c r="DP457" s="41"/>
      <c r="DQ457" s="41"/>
      <c r="DR457" s="41"/>
      <c r="DS457" s="41"/>
      <c r="DT457" s="41"/>
      <c r="DU457" s="41"/>
      <c r="DV457" s="41"/>
      <c r="DW457" s="41"/>
      <c r="DX457" s="41"/>
    </row>
    <row r="458" spans="1:128" s="75" customFormat="1" ht="19.5" hidden="1" customHeight="1" x14ac:dyDescent="0.25">
      <c r="A458" s="86" t="s">
        <v>877</v>
      </c>
      <c r="B458" s="87"/>
      <c r="C458" s="85" t="s">
        <v>13</v>
      </c>
      <c r="D458" s="85" t="s">
        <v>48</v>
      </c>
      <c r="E458" s="178">
        <v>13587.38</v>
      </c>
      <c r="F458" s="178">
        <f>E458*0.025</f>
        <v>339.68450000000001</v>
      </c>
      <c r="G458" s="198">
        <f t="shared" si="12"/>
        <v>73260742.494250119</v>
      </c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  <c r="BF458" s="41"/>
      <c r="BG458" s="41"/>
      <c r="BH458" s="41"/>
      <c r="BI458" s="41"/>
      <c r="BJ458" s="41"/>
      <c r="BK458" s="41"/>
      <c r="BL458" s="41"/>
      <c r="BM458" s="41"/>
      <c r="BN458" s="41"/>
      <c r="BO458" s="41"/>
      <c r="BP458" s="41"/>
      <c r="BQ458" s="41"/>
      <c r="BR458" s="41"/>
      <c r="BS458" s="41"/>
      <c r="BT458" s="41"/>
      <c r="BU458" s="41"/>
      <c r="BV458" s="41"/>
      <c r="BW458" s="41"/>
      <c r="BX458" s="41"/>
      <c r="BY458" s="41"/>
      <c r="BZ458" s="41"/>
      <c r="CA458" s="41"/>
      <c r="CB458" s="41"/>
      <c r="CC458" s="41"/>
      <c r="CD458" s="41"/>
      <c r="CE458" s="41"/>
      <c r="CF458" s="41"/>
      <c r="CG458" s="41"/>
      <c r="CH458" s="41"/>
      <c r="CI458" s="41"/>
      <c r="CJ458" s="41"/>
      <c r="CK458" s="41"/>
      <c r="CL458" s="41"/>
      <c r="CM458" s="41"/>
      <c r="CN458" s="41"/>
      <c r="CO458" s="41"/>
      <c r="CP458" s="41"/>
      <c r="CQ458" s="41"/>
      <c r="CR458" s="41"/>
      <c r="CS458" s="41"/>
      <c r="CT458" s="41"/>
      <c r="CU458" s="41"/>
      <c r="CV458" s="41"/>
      <c r="CW458" s="41"/>
      <c r="CX458" s="41"/>
      <c r="CY458" s="41"/>
      <c r="CZ458" s="41"/>
      <c r="DA458" s="41"/>
      <c r="DB458" s="41"/>
      <c r="DC458" s="41"/>
      <c r="DD458" s="41"/>
      <c r="DE458" s="41"/>
      <c r="DF458" s="41"/>
      <c r="DG458" s="41"/>
      <c r="DH458" s="41"/>
      <c r="DI458" s="41"/>
      <c r="DJ458" s="41"/>
      <c r="DK458" s="41"/>
      <c r="DL458" s="41"/>
      <c r="DM458" s="41"/>
      <c r="DN458" s="41"/>
      <c r="DO458" s="41"/>
      <c r="DP458" s="41"/>
      <c r="DQ458" s="41"/>
      <c r="DR458" s="41"/>
      <c r="DS458" s="41"/>
      <c r="DT458" s="41"/>
      <c r="DU458" s="41"/>
      <c r="DV458" s="41"/>
      <c r="DW458" s="41"/>
      <c r="DX458" s="41"/>
    </row>
    <row r="459" spans="1:128" s="75" customFormat="1" ht="19.5" hidden="1" customHeight="1" x14ac:dyDescent="0.25">
      <c r="A459" s="86" t="s">
        <v>877</v>
      </c>
      <c r="B459" s="87"/>
      <c r="C459" s="85" t="s">
        <v>13</v>
      </c>
      <c r="D459" s="85" t="s">
        <v>48</v>
      </c>
      <c r="E459" s="178">
        <v>1300</v>
      </c>
      <c r="F459" s="178">
        <f>E459*0.025</f>
        <v>32.5</v>
      </c>
      <c r="G459" s="198">
        <f t="shared" si="12"/>
        <v>73262009.994250119</v>
      </c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  <c r="BF459" s="41"/>
      <c r="BG459" s="41"/>
      <c r="BH459" s="41"/>
      <c r="BI459" s="41"/>
      <c r="BJ459" s="41"/>
      <c r="BK459" s="41"/>
      <c r="BL459" s="41"/>
      <c r="BM459" s="41"/>
      <c r="BN459" s="41"/>
      <c r="BO459" s="41"/>
      <c r="BP459" s="41"/>
      <c r="BQ459" s="41"/>
      <c r="BR459" s="41"/>
      <c r="BS459" s="41"/>
      <c r="BT459" s="41"/>
      <c r="BU459" s="41"/>
      <c r="BV459" s="41"/>
      <c r="BW459" s="41"/>
      <c r="BX459" s="41"/>
      <c r="BY459" s="41"/>
      <c r="BZ459" s="41"/>
      <c r="CA459" s="41"/>
      <c r="CB459" s="41"/>
      <c r="CC459" s="41"/>
      <c r="CD459" s="41"/>
      <c r="CE459" s="41"/>
      <c r="CF459" s="41"/>
      <c r="CG459" s="41"/>
      <c r="CH459" s="41"/>
      <c r="CI459" s="41"/>
      <c r="CJ459" s="41"/>
      <c r="CK459" s="41"/>
      <c r="CL459" s="41"/>
      <c r="CM459" s="41"/>
      <c r="CN459" s="41"/>
      <c r="CO459" s="41"/>
      <c r="CP459" s="41"/>
      <c r="CQ459" s="41"/>
      <c r="CR459" s="41"/>
      <c r="CS459" s="41"/>
      <c r="CT459" s="41"/>
      <c r="CU459" s="41"/>
      <c r="CV459" s="41"/>
      <c r="CW459" s="41"/>
      <c r="CX459" s="41"/>
      <c r="CY459" s="41"/>
      <c r="CZ459" s="41"/>
      <c r="DA459" s="41"/>
      <c r="DB459" s="41"/>
      <c r="DC459" s="41"/>
      <c r="DD459" s="41"/>
      <c r="DE459" s="41"/>
      <c r="DF459" s="41"/>
      <c r="DG459" s="41"/>
      <c r="DH459" s="41"/>
      <c r="DI459" s="41"/>
      <c r="DJ459" s="41"/>
      <c r="DK459" s="41"/>
      <c r="DL459" s="41"/>
      <c r="DM459" s="41"/>
      <c r="DN459" s="41"/>
      <c r="DO459" s="41"/>
      <c r="DP459" s="41"/>
      <c r="DQ459" s="41"/>
      <c r="DR459" s="41"/>
      <c r="DS459" s="41"/>
      <c r="DT459" s="41"/>
      <c r="DU459" s="41"/>
      <c r="DV459" s="41"/>
      <c r="DW459" s="41"/>
      <c r="DX459" s="41"/>
    </row>
    <row r="460" spans="1:128" s="75" customFormat="1" ht="31.5" hidden="1" x14ac:dyDescent="0.25">
      <c r="A460" s="86" t="s">
        <v>877</v>
      </c>
      <c r="B460" s="207" t="s">
        <v>878</v>
      </c>
      <c r="C460" s="85" t="s">
        <v>460</v>
      </c>
      <c r="D460" s="85" t="s">
        <v>879</v>
      </c>
      <c r="E460" s="178"/>
      <c r="F460" s="178">
        <v>623039.63</v>
      </c>
      <c r="G460" s="198">
        <f t="shared" si="12"/>
        <v>72638970.364250124</v>
      </c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  <c r="BF460" s="41"/>
      <c r="BG460" s="41"/>
      <c r="BH460" s="41"/>
      <c r="BI460" s="41"/>
      <c r="BJ460" s="41"/>
      <c r="BK460" s="41"/>
      <c r="BL460" s="41"/>
      <c r="BM460" s="41"/>
      <c r="BN460" s="41"/>
      <c r="BO460" s="41"/>
      <c r="BP460" s="41"/>
      <c r="BQ460" s="41"/>
      <c r="BR460" s="41"/>
      <c r="BS460" s="41"/>
      <c r="BT460" s="41"/>
      <c r="BU460" s="41"/>
      <c r="BV460" s="41"/>
      <c r="BW460" s="41"/>
      <c r="BX460" s="41"/>
      <c r="BY460" s="41"/>
      <c r="BZ460" s="41"/>
      <c r="CA460" s="41"/>
      <c r="CB460" s="41"/>
      <c r="CC460" s="41"/>
      <c r="CD460" s="41"/>
      <c r="CE460" s="41"/>
      <c r="CF460" s="41"/>
      <c r="CG460" s="41"/>
      <c r="CH460" s="41"/>
      <c r="CI460" s="41"/>
      <c r="CJ460" s="41"/>
      <c r="CK460" s="41"/>
      <c r="CL460" s="41"/>
      <c r="CM460" s="41"/>
      <c r="CN460" s="41"/>
      <c r="CO460" s="41"/>
      <c r="CP460" s="41"/>
      <c r="CQ460" s="41"/>
      <c r="CR460" s="41"/>
      <c r="CS460" s="41"/>
      <c r="CT460" s="41"/>
      <c r="CU460" s="41"/>
      <c r="CV460" s="41"/>
      <c r="CW460" s="41"/>
      <c r="CX460" s="41"/>
      <c r="CY460" s="41"/>
      <c r="CZ460" s="41"/>
      <c r="DA460" s="41"/>
      <c r="DB460" s="41"/>
      <c r="DC460" s="41"/>
      <c r="DD460" s="41"/>
      <c r="DE460" s="41"/>
      <c r="DF460" s="41"/>
      <c r="DG460" s="41"/>
      <c r="DH460" s="41"/>
      <c r="DI460" s="41"/>
      <c r="DJ460" s="41"/>
      <c r="DK460" s="41"/>
      <c r="DL460" s="41"/>
      <c r="DM460" s="41"/>
      <c r="DN460" s="41"/>
      <c r="DO460" s="41"/>
      <c r="DP460" s="41"/>
      <c r="DQ460" s="41"/>
      <c r="DR460" s="41"/>
      <c r="DS460" s="41"/>
      <c r="DT460" s="41"/>
      <c r="DU460" s="41"/>
      <c r="DV460" s="41"/>
      <c r="DW460" s="41"/>
      <c r="DX460" s="41"/>
    </row>
    <row r="461" spans="1:128" s="75" customFormat="1" ht="31.5" hidden="1" x14ac:dyDescent="0.25">
      <c r="A461" s="86" t="s">
        <v>877</v>
      </c>
      <c r="B461" s="207" t="s">
        <v>880</v>
      </c>
      <c r="C461" s="85" t="s">
        <v>870</v>
      </c>
      <c r="D461" s="85" t="s">
        <v>871</v>
      </c>
      <c r="E461" s="178"/>
      <c r="F461" s="178">
        <v>129724</v>
      </c>
      <c r="G461" s="198">
        <f t="shared" si="12"/>
        <v>72509246.364250124</v>
      </c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1"/>
      <c r="BD461" s="41"/>
      <c r="BE461" s="41"/>
      <c r="BF461" s="41"/>
      <c r="BG461" s="41"/>
      <c r="BH461" s="41"/>
      <c r="BI461" s="41"/>
      <c r="BJ461" s="41"/>
      <c r="BK461" s="41"/>
      <c r="BL461" s="41"/>
      <c r="BM461" s="41"/>
      <c r="BN461" s="41"/>
      <c r="BO461" s="41"/>
      <c r="BP461" s="41"/>
      <c r="BQ461" s="41"/>
      <c r="BR461" s="41"/>
      <c r="BS461" s="41"/>
      <c r="BT461" s="41"/>
      <c r="BU461" s="41"/>
      <c r="BV461" s="41"/>
      <c r="BW461" s="41"/>
      <c r="BX461" s="41"/>
      <c r="BY461" s="41"/>
      <c r="BZ461" s="41"/>
      <c r="CA461" s="41"/>
      <c r="CB461" s="41"/>
      <c r="CC461" s="41"/>
      <c r="CD461" s="41"/>
      <c r="CE461" s="41"/>
      <c r="CF461" s="41"/>
      <c r="CG461" s="41"/>
      <c r="CH461" s="41"/>
      <c r="CI461" s="41"/>
      <c r="CJ461" s="41"/>
      <c r="CK461" s="41"/>
      <c r="CL461" s="41"/>
      <c r="CM461" s="41"/>
      <c r="CN461" s="41"/>
      <c r="CO461" s="41"/>
      <c r="CP461" s="41"/>
      <c r="CQ461" s="41"/>
      <c r="CR461" s="41"/>
      <c r="CS461" s="41"/>
      <c r="CT461" s="41"/>
      <c r="CU461" s="41"/>
      <c r="CV461" s="41"/>
      <c r="CW461" s="41"/>
      <c r="CX461" s="41"/>
      <c r="CY461" s="41"/>
      <c r="CZ461" s="41"/>
      <c r="DA461" s="41"/>
      <c r="DB461" s="41"/>
      <c r="DC461" s="41"/>
      <c r="DD461" s="41"/>
      <c r="DE461" s="41"/>
      <c r="DF461" s="41"/>
      <c r="DG461" s="41"/>
      <c r="DH461" s="41"/>
      <c r="DI461" s="41"/>
      <c r="DJ461" s="41"/>
      <c r="DK461" s="41"/>
      <c r="DL461" s="41"/>
      <c r="DM461" s="41"/>
      <c r="DN461" s="41"/>
      <c r="DO461" s="41"/>
      <c r="DP461" s="41"/>
      <c r="DQ461" s="41"/>
      <c r="DR461" s="41"/>
      <c r="DS461" s="41"/>
      <c r="DT461" s="41"/>
      <c r="DU461" s="41"/>
      <c r="DV461" s="41"/>
      <c r="DW461" s="41"/>
      <c r="DX461" s="41"/>
    </row>
    <row r="462" spans="1:128" s="75" customFormat="1" ht="31.5" hidden="1" x14ac:dyDescent="0.25">
      <c r="A462" s="86" t="s">
        <v>877</v>
      </c>
      <c r="B462" s="207" t="s">
        <v>881</v>
      </c>
      <c r="C462" s="85" t="s">
        <v>104</v>
      </c>
      <c r="D462" s="85" t="s">
        <v>882</v>
      </c>
      <c r="E462" s="178"/>
      <c r="F462" s="178">
        <v>23000</v>
      </c>
      <c r="G462" s="198">
        <f t="shared" si="12"/>
        <v>72486246.364250124</v>
      </c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  <c r="BF462" s="41"/>
      <c r="BG462" s="41"/>
      <c r="BH462" s="41"/>
      <c r="BI462" s="41"/>
      <c r="BJ462" s="41"/>
      <c r="BK462" s="41"/>
      <c r="BL462" s="41"/>
      <c r="BM462" s="41"/>
      <c r="BN462" s="41"/>
      <c r="BO462" s="41"/>
      <c r="BP462" s="41"/>
      <c r="BQ462" s="41"/>
      <c r="BR462" s="41"/>
      <c r="BS462" s="41"/>
      <c r="BT462" s="41"/>
      <c r="BU462" s="41"/>
      <c r="BV462" s="41"/>
      <c r="BW462" s="41"/>
      <c r="BX462" s="41"/>
      <c r="BY462" s="41"/>
      <c r="BZ462" s="41"/>
      <c r="CA462" s="41"/>
      <c r="CB462" s="41"/>
      <c r="CC462" s="41"/>
      <c r="CD462" s="41"/>
      <c r="CE462" s="41"/>
      <c r="CF462" s="41"/>
      <c r="CG462" s="41"/>
      <c r="CH462" s="41"/>
      <c r="CI462" s="41"/>
      <c r="CJ462" s="41"/>
      <c r="CK462" s="41"/>
      <c r="CL462" s="41"/>
      <c r="CM462" s="41"/>
      <c r="CN462" s="41"/>
      <c r="CO462" s="41"/>
      <c r="CP462" s="41"/>
      <c r="CQ462" s="41"/>
      <c r="CR462" s="41"/>
      <c r="CS462" s="41"/>
      <c r="CT462" s="41"/>
      <c r="CU462" s="41"/>
      <c r="CV462" s="41"/>
      <c r="CW462" s="41"/>
      <c r="CX462" s="41"/>
      <c r="CY462" s="41"/>
      <c r="CZ462" s="41"/>
      <c r="DA462" s="41"/>
      <c r="DB462" s="41"/>
      <c r="DC462" s="41"/>
      <c r="DD462" s="41"/>
      <c r="DE462" s="41"/>
      <c r="DF462" s="41"/>
      <c r="DG462" s="41"/>
      <c r="DH462" s="41"/>
      <c r="DI462" s="41"/>
      <c r="DJ462" s="41"/>
      <c r="DK462" s="41"/>
      <c r="DL462" s="41"/>
      <c r="DM462" s="41"/>
      <c r="DN462" s="41"/>
      <c r="DO462" s="41"/>
      <c r="DP462" s="41"/>
      <c r="DQ462" s="41"/>
      <c r="DR462" s="41"/>
      <c r="DS462" s="41"/>
      <c r="DT462" s="41"/>
      <c r="DU462" s="41"/>
      <c r="DV462" s="41"/>
      <c r="DW462" s="41"/>
      <c r="DX462" s="41"/>
    </row>
    <row r="463" spans="1:128" s="75" customFormat="1" ht="15.75" hidden="1" x14ac:dyDescent="0.25">
      <c r="A463" s="86" t="s">
        <v>877</v>
      </c>
      <c r="B463" s="207" t="s">
        <v>883</v>
      </c>
      <c r="C463" s="85" t="s">
        <v>203</v>
      </c>
      <c r="D463" s="85" t="s">
        <v>884</v>
      </c>
      <c r="E463" s="178"/>
      <c r="F463" s="178">
        <v>621500</v>
      </c>
      <c r="G463" s="198">
        <f t="shared" si="12"/>
        <v>71864746.364250124</v>
      </c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41"/>
      <c r="BG463" s="41"/>
      <c r="BH463" s="41"/>
      <c r="BI463" s="41"/>
      <c r="BJ463" s="41"/>
      <c r="BK463" s="41"/>
      <c r="BL463" s="41"/>
      <c r="BM463" s="41"/>
      <c r="BN463" s="41"/>
      <c r="BO463" s="41"/>
      <c r="BP463" s="41"/>
      <c r="BQ463" s="41"/>
      <c r="BR463" s="41"/>
      <c r="BS463" s="41"/>
      <c r="BT463" s="41"/>
      <c r="BU463" s="41"/>
      <c r="BV463" s="41"/>
      <c r="BW463" s="41"/>
      <c r="BX463" s="41"/>
      <c r="BY463" s="41"/>
      <c r="BZ463" s="41"/>
      <c r="CA463" s="41"/>
      <c r="CB463" s="41"/>
      <c r="CC463" s="41"/>
      <c r="CD463" s="41"/>
      <c r="CE463" s="41"/>
      <c r="CF463" s="41"/>
      <c r="CG463" s="41"/>
      <c r="CH463" s="41"/>
      <c r="CI463" s="41"/>
      <c r="CJ463" s="41"/>
      <c r="CK463" s="41"/>
      <c r="CL463" s="41"/>
      <c r="CM463" s="41"/>
      <c r="CN463" s="41"/>
      <c r="CO463" s="41"/>
      <c r="CP463" s="41"/>
      <c r="CQ463" s="41"/>
      <c r="CR463" s="41"/>
      <c r="CS463" s="41"/>
      <c r="CT463" s="41"/>
      <c r="CU463" s="41"/>
      <c r="CV463" s="41"/>
      <c r="CW463" s="41"/>
      <c r="CX463" s="41"/>
      <c r="CY463" s="41"/>
      <c r="CZ463" s="41"/>
      <c r="DA463" s="41"/>
      <c r="DB463" s="41"/>
      <c r="DC463" s="41"/>
      <c r="DD463" s="41"/>
      <c r="DE463" s="41"/>
      <c r="DF463" s="41"/>
      <c r="DG463" s="41"/>
      <c r="DH463" s="41"/>
      <c r="DI463" s="41"/>
      <c r="DJ463" s="41"/>
      <c r="DK463" s="41"/>
      <c r="DL463" s="41"/>
      <c r="DM463" s="41"/>
      <c r="DN463" s="41"/>
      <c r="DO463" s="41"/>
      <c r="DP463" s="41"/>
      <c r="DQ463" s="41"/>
      <c r="DR463" s="41"/>
      <c r="DS463" s="41"/>
      <c r="DT463" s="41"/>
      <c r="DU463" s="41"/>
      <c r="DV463" s="41"/>
      <c r="DW463" s="41"/>
      <c r="DX463" s="41"/>
    </row>
    <row r="464" spans="1:128" s="75" customFormat="1" ht="31.5" hidden="1" x14ac:dyDescent="0.25">
      <c r="A464" s="86" t="s">
        <v>877</v>
      </c>
      <c r="B464" s="207" t="s">
        <v>885</v>
      </c>
      <c r="C464" s="85" t="s">
        <v>95</v>
      </c>
      <c r="D464" s="85" t="s">
        <v>886</v>
      </c>
      <c r="E464" s="178"/>
      <c r="F464" s="178">
        <v>165442.5</v>
      </c>
      <c r="G464" s="198">
        <f t="shared" si="12"/>
        <v>71699303.864250124</v>
      </c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  <c r="BJ464" s="41"/>
      <c r="BK464" s="41"/>
      <c r="BL464" s="41"/>
      <c r="BM464" s="41"/>
      <c r="BN464" s="41"/>
      <c r="BO464" s="41"/>
      <c r="BP464" s="41"/>
      <c r="BQ464" s="41"/>
      <c r="BR464" s="41"/>
      <c r="BS464" s="41"/>
      <c r="BT464" s="41"/>
      <c r="BU464" s="41"/>
      <c r="BV464" s="41"/>
      <c r="BW464" s="41"/>
      <c r="BX464" s="41"/>
      <c r="BY464" s="41"/>
      <c r="BZ464" s="41"/>
      <c r="CA464" s="41"/>
      <c r="CB464" s="41"/>
      <c r="CC464" s="41"/>
      <c r="CD464" s="41"/>
      <c r="CE464" s="41"/>
      <c r="CF464" s="41"/>
      <c r="CG464" s="41"/>
      <c r="CH464" s="41"/>
      <c r="CI464" s="41"/>
      <c r="CJ464" s="41"/>
      <c r="CK464" s="41"/>
      <c r="CL464" s="41"/>
      <c r="CM464" s="41"/>
      <c r="CN464" s="41"/>
      <c r="CO464" s="41"/>
      <c r="CP464" s="41"/>
      <c r="CQ464" s="41"/>
      <c r="CR464" s="41"/>
      <c r="CS464" s="41"/>
      <c r="CT464" s="41"/>
      <c r="CU464" s="41"/>
      <c r="CV464" s="41"/>
      <c r="CW464" s="41"/>
      <c r="CX464" s="41"/>
      <c r="CY464" s="41"/>
      <c r="CZ464" s="41"/>
      <c r="DA464" s="41"/>
      <c r="DB464" s="41"/>
      <c r="DC464" s="41"/>
      <c r="DD464" s="41"/>
      <c r="DE464" s="41"/>
      <c r="DF464" s="41"/>
      <c r="DG464" s="41"/>
      <c r="DH464" s="41"/>
      <c r="DI464" s="41"/>
      <c r="DJ464" s="41"/>
      <c r="DK464" s="41"/>
      <c r="DL464" s="41"/>
      <c r="DM464" s="41"/>
      <c r="DN464" s="41"/>
      <c r="DO464" s="41"/>
      <c r="DP464" s="41"/>
      <c r="DQ464" s="41"/>
      <c r="DR464" s="41"/>
      <c r="DS464" s="41"/>
      <c r="DT464" s="41"/>
      <c r="DU464" s="41"/>
      <c r="DV464" s="41"/>
      <c r="DW464" s="41"/>
      <c r="DX464" s="41"/>
    </row>
    <row r="465" spans="1:128" s="75" customFormat="1" ht="19.5" hidden="1" customHeight="1" x14ac:dyDescent="0.25">
      <c r="A465" s="86" t="s">
        <v>877</v>
      </c>
      <c r="B465" s="207" t="s">
        <v>887</v>
      </c>
      <c r="C465" s="85" t="s">
        <v>888</v>
      </c>
      <c r="D465" s="85" t="s">
        <v>889</v>
      </c>
      <c r="E465" s="178"/>
      <c r="F465" s="178">
        <v>13096.7</v>
      </c>
      <c r="G465" s="198">
        <f t="shared" si="12"/>
        <v>71686207.164250121</v>
      </c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  <c r="BF465" s="41"/>
      <c r="BG465" s="41"/>
      <c r="BH465" s="41"/>
      <c r="BI465" s="41"/>
      <c r="BJ465" s="41"/>
      <c r="BK465" s="41"/>
      <c r="BL465" s="41"/>
      <c r="BM465" s="41"/>
      <c r="BN465" s="41"/>
      <c r="BO465" s="41"/>
      <c r="BP465" s="41"/>
      <c r="BQ465" s="41"/>
      <c r="BR465" s="41"/>
      <c r="BS465" s="41"/>
      <c r="BT465" s="41"/>
      <c r="BU465" s="41"/>
      <c r="BV465" s="41"/>
      <c r="BW465" s="41"/>
      <c r="BX465" s="41"/>
      <c r="BY465" s="41"/>
      <c r="BZ465" s="41"/>
      <c r="CA465" s="41"/>
      <c r="CB465" s="41"/>
      <c r="CC465" s="41"/>
      <c r="CD465" s="41"/>
      <c r="CE465" s="41"/>
      <c r="CF465" s="41"/>
      <c r="CG465" s="41"/>
      <c r="CH465" s="41"/>
      <c r="CI465" s="41"/>
      <c r="CJ465" s="41"/>
      <c r="CK465" s="41"/>
      <c r="CL465" s="41"/>
      <c r="CM465" s="41"/>
      <c r="CN465" s="41"/>
      <c r="CO465" s="41"/>
      <c r="CP465" s="41"/>
      <c r="CQ465" s="41"/>
      <c r="CR465" s="41"/>
      <c r="CS465" s="41"/>
      <c r="CT465" s="41"/>
      <c r="CU465" s="41"/>
      <c r="CV465" s="41"/>
      <c r="CW465" s="41"/>
      <c r="CX465" s="41"/>
      <c r="CY465" s="41"/>
      <c r="CZ465" s="41"/>
      <c r="DA465" s="41"/>
      <c r="DB465" s="41"/>
      <c r="DC465" s="41"/>
      <c r="DD465" s="41"/>
      <c r="DE465" s="41"/>
      <c r="DF465" s="41"/>
      <c r="DG465" s="41"/>
      <c r="DH465" s="41"/>
      <c r="DI465" s="41"/>
      <c r="DJ465" s="41"/>
      <c r="DK465" s="41"/>
      <c r="DL465" s="41"/>
      <c r="DM465" s="41"/>
      <c r="DN465" s="41"/>
      <c r="DO465" s="41"/>
      <c r="DP465" s="41"/>
      <c r="DQ465" s="41"/>
      <c r="DR465" s="41"/>
      <c r="DS465" s="41"/>
      <c r="DT465" s="41"/>
      <c r="DU465" s="41"/>
      <c r="DV465" s="41"/>
      <c r="DW465" s="41"/>
      <c r="DX465" s="41"/>
    </row>
    <row r="466" spans="1:128" s="75" customFormat="1" ht="39" hidden="1" customHeight="1" x14ac:dyDescent="0.25">
      <c r="A466" s="86" t="s">
        <v>877</v>
      </c>
      <c r="B466" s="87"/>
      <c r="C466" s="76" t="s">
        <v>44</v>
      </c>
      <c r="D466" s="85" t="s">
        <v>968</v>
      </c>
      <c r="E466" s="178">
        <v>129724</v>
      </c>
      <c r="F466" s="178"/>
      <c r="G466" s="199">
        <f t="shared" si="12"/>
        <v>71815931.164250121</v>
      </c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1"/>
      <c r="BD466" s="41"/>
      <c r="BE466" s="41"/>
      <c r="BF466" s="41"/>
      <c r="BG466" s="41"/>
      <c r="BH466" s="41"/>
      <c r="BI466" s="41"/>
      <c r="BJ466" s="41"/>
      <c r="BK466" s="41"/>
      <c r="BL466" s="41"/>
      <c r="BM466" s="41"/>
      <c r="BN466" s="41"/>
      <c r="BO466" s="41"/>
      <c r="BP466" s="41"/>
      <c r="BQ466" s="41"/>
      <c r="BR466" s="41"/>
      <c r="BS466" s="41"/>
      <c r="BT466" s="41"/>
      <c r="BU466" s="41"/>
      <c r="BV466" s="41"/>
      <c r="BW466" s="41"/>
      <c r="BX466" s="41"/>
      <c r="BY466" s="41"/>
      <c r="BZ466" s="41"/>
      <c r="CA466" s="41"/>
      <c r="CB466" s="41"/>
      <c r="CC466" s="41"/>
      <c r="CD466" s="41"/>
      <c r="CE466" s="41"/>
      <c r="CF466" s="41"/>
      <c r="CG466" s="41"/>
      <c r="CH466" s="41"/>
      <c r="CI466" s="41"/>
      <c r="CJ466" s="41"/>
      <c r="CK466" s="41"/>
      <c r="CL466" s="41"/>
      <c r="CM466" s="41"/>
      <c r="CN466" s="41"/>
      <c r="CO466" s="41"/>
      <c r="CP466" s="41"/>
      <c r="CQ466" s="41"/>
      <c r="CR466" s="41"/>
      <c r="CS466" s="41"/>
      <c r="CT466" s="41"/>
      <c r="CU466" s="41"/>
      <c r="CV466" s="41"/>
      <c r="CW466" s="41"/>
      <c r="CX466" s="41"/>
      <c r="CY466" s="41"/>
      <c r="CZ466" s="41"/>
      <c r="DA466" s="41"/>
      <c r="DB466" s="41"/>
      <c r="DC466" s="41"/>
      <c r="DD466" s="41"/>
      <c r="DE466" s="41"/>
      <c r="DF466" s="41"/>
      <c r="DG466" s="41"/>
      <c r="DH466" s="41"/>
      <c r="DI466" s="41"/>
      <c r="DJ466" s="41"/>
      <c r="DK466" s="41"/>
      <c r="DL466" s="41"/>
      <c r="DM466" s="41"/>
      <c r="DN466" s="41"/>
      <c r="DO466" s="41"/>
      <c r="DP466" s="41"/>
      <c r="DQ466" s="41"/>
      <c r="DR466" s="41"/>
      <c r="DS466" s="41"/>
      <c r="DT466" s="41"/>
      <c r="DU466" s="41"/>
      <c r="DV466" s="41"/>
      <c r="DW466" s="41"/>
      <c r="DX466" s="41"/>
    </row>
    <row r="467" spans="1:128" s="75" customFormat="1" ht="19.5" hidden="1" customHeight="1" x14ac:dyDescent="0.25">
      <c r="A467" s="86" t="s">
        <v>894</v>
      </c>
      <c r="B467" s="87" t="s">
        <v>903</v>
      </c>
      <c r="C467" s="85" t="s">
        <v>32</v>
      </c>
      <c r="D467" s="85" t="s">
        <v>904</v>
      </c>
      <c r="E467" s="178"/>
      <c r="F467" s="178">
        <v>541271.62</v>
      </c>
      <c r="G467" s="198">
        <f t="shared" si="12"/>
        <v>71274659.544250116</v>
      </c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  <c r="BJ467" s="41"/>
      <c r="BK467" s="41"/>
      <c r="BL467" s="41"/>
      <c r="BM467" s="41"/>
      <c r="BN467" s="41"/>
      <c r="BO467" s="41"/>
      <c r="BP467" s="41"/>
      <c r="BQ467" s="41"/>
      <c r="BR467" s="41"/>
      <c r="BS467" s="41"/>
      <c r="BT467" s="41"/>
      <c r="BU467" s="41"/>
      <c r="BV467" s="41"/>
      <c r="BW467" s="41"/>
      <c r="BX467" s="41"/>
      <c r="BY467" s="41"/>
      <c r="BZ467" s="41"/>
      <c r="CA467" s="41"/>
      <c r="CB467" s="41"/>
      <c r="CC467" s="41"/>
      <c r="CD467" s="41"/>
      <c r="CE467" s="41"/>
      <c r="CF467" s="41"/>
      <c r="CG467" s="41"/>
      <c r="CH467" s="41"/>
      <c r="CI467" s="41"/>
      <c r="CJ467" s="41"/>
      <c r="CK467" s="41"/>
      <c r="CL467" s="41"/>
      <c r="CM467" s="41"/>
      <c r="CN467" s="41"/>
      <c r="CO467" s="41"/>
      <c r="CP467" s="41"/>
      <c r="CQ467" s="41"/>
      <c r="CR467" s="41"/>
      <c r="CS467" s="41"/>
      <c r="CT467" s="41"/>
      <c r="CU467" s="41"/>
      <c r="CV467" s="41"/>
      <c r="CW467" s="41"/>
      <c r="CX467" s="41"/>
      <c r="CY467" s="41"/>
      <c r="CZ467" s="41"/>
      <c r="DA467" s="41"/>
      <c r="DB467" s="41"/>
      <c r="DC467" s="41"/>
      <c r="DD467" s="41"/>
      <c r="DE467" s="41"/>
      <c r="DF467" s="41"/>
      <c r="DG467" s="41"/>
      <c r="DH467" s="41"/>
      <c r="DI467" s="41"/>
      <c r="DJ467" s="41"/>
      <c r="DK467" s="41"/>
      <c r="DL467" s="41"/>
      <c r="DM467" s="41"/>
      <c r="DN467" s="41"/>
      <c r="DO467" s="41"/>
      <c r="DP467" s="41"/>
      <c r="DQ467" s="41"/>
      <c r="DR467" s="41"/>
      <c r="DS467" s="41"/>
      <c r="DT467" s="41"/>
      <c r="DU467" s="41"/>
      <c r="DV467" s="41"/>
      <c r="DW467" s="41"/>
      <c r="DX467" s="41"/>
    </row>
    <row r="468" spans="1:128" s="75" customFormat="1" ht="19.5" hidden="1" customHeight="1" x14ac:dyDescent="0.25">
      <c r="A468" s="86" t="s">
        <v>894</v>
      </c>
      <c r="B468" s="87" t="s">
        <v>901</v>
      </c>
      <c r="C468" s="85" t="s">
        <v>32</v>
      </c>
      <c r="D468" s="85" t="s">
        <v>902</v>
      </c>
      <c r="E468" s="178"/>
      <c r="F468" s="178">
        <v>1691495</v>
      </c>
      <c r="G468" s="198">
        <f t="shared" si="12"/>
        <v>69583164.544250116</v>
      </c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  <c r="BJ468" s="41"/>
      <c r="BK468" s="41"/>
      <c r="BL468" s="41"/>
      <c r="BM468" s="41"/>
      <c r="BN468" s="41"/>
      <c r="BO468" s="41"/>
      <c r="BP468" s="41"/>
      <c r="BQ468" s="41"/>
      <c r="BR468" s="41"/>
      <c r="BS468" s="41"/>
      <c r="BT468" s="41"/>
      <c r="BU468" s="41"/>
      <c r="BV468" s="41"/>
      <c r="BW468" s="41"/>
      <c r="BX468" s="41"/>
      <c r="BY468" s="41"/>
      <c r="BZ468" s="41"/>
      <c r="CA468" s="41"/>
      <c r="CB468" s="41"/>
      <c r="CC468" s="41"/>
      <c r="CD468" s="41"/>
      <c r="CE468" s="41"/>
      <c r="CF468" s="41"/>
      <c r="CG468" s="41"/>
      <c r="CH468" s="41"/>
      <c r="CI468" s="41"/>
      <c r="CJ468" s="41"/>
      <c r="CK468" s="41"/>
      <c r="CL468" s="41"/>
      <c r="CM468" s="41"/>
      <c r="CN468" s="41"/>
      <c r="CO468" s="41"/>
      <c r="CP468" s="41"/>
      <c r="CQ468" s="41"/>
      <c r="CR468" s="41"/>
      <c r="CS468" s="41"/>
      <c r="CT468" s="41"/>
      <c r="CU468" s="41"/>
      <c r="CV468" s="41"/>
      <c r="CW468" s="41"/>
      <c r="CX468" s="41"/>
      <c r="CY468" s="41"/>
      <c r="CZ468" s="41"/>
      <c r="DA468" s="41"/>
      <c r="DB468" s="41"/>
      <c r="DC468" s="41"/>
      <c r="DD468" s="41"/>
      <c r="DE468" s="41"/>
      <c r="DF468" s="41"/>
      <c r="DG468" s="41"/>
      <c r="DH468" s="41"/>
      <c r="DI468" s="41"/>
      <c r="DJ468" s="41"/>
      <c r="DK468" s="41"/>
      <c r="DL468" s="41"/>
      <c r="DM468" s="41"/>
      <c r="DN468" s="41"/>
      <c r="DO468" s="41"/>
      <c r="DP468" s="41"/>
      <c r="DQ468" s="41"/>
      <c r="DR468" s="41"/>
      <c r="DS468" s="41"/>
      <c r="DT468" s="41"/>
      <c r="DU468" s="41"/>
      <c r="DV468" s="41"/>
      <c r="DW468" s="41"/>
      <c r="DX468" s="41"/>
    </row>
    <row r="469" spans="1:128" s="75" customFormat="1" ht="19.5" hidden="1" customHeight="1" x14ac:dyDescent="0.25">
      <c r="A469" s="86" t="s">
        <v>894</v>
      </c>
      <c r="B469" s="87" t="s">
        <v>898</v>
      </c>
      <c r="C469" s="85" t="s">
        <v>32</v>
      </c>
      <c r="D469" s="85" t="s">
        <v>905</v>
      </c>
      <c r="E469" s="178">
        <v>31543369.870000001</v>
      </c>
      <c r="F469" s="178"/>
      <c r="G469" s="198">
        <f t="shared" si="12"/>
        <v>101126534.41425012</v>
      </c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  <c r="BL469" s="41"/>
      <c r="BM469" s="41"/>
      <c r="BN469" s="41"/>
      <c r="BO469" s="41"/>
      <c r="BP469" s="41"/>
      <c r="BQ469" s="41"/>
      <c r="BR469" s="41"/>
      <c r="BS469" s="41"/>
      <c r="BT469" s="41"/>
      <c r="BU469" s="41"/>
      <c r="BV469" s="41"/>
      <c r="BW469" s="41"/>
      <c r="BX469" s="41"/>
      <c r="BY469" s="41"/>
      <c r="BZ469" s="41"/>
      <c r="CA469" s="41"/>
      <c r="CB469" s="41"/>
      <c r="CC469" s="41"/>
      <c r="CD469" s="41"/>
      <c r="CE469" s="41"/>
      <c r="CF469" s="41"/>
      <c r="CG469" s="41"/>
      <c r="CH469" s="41"/>
      <c r="CI469" s="41"/>
      <c r="CJ469" s="41"/>
      <c r="CK469" s="41"/>
      <c r="CL469" s="41"/>
      <c r="CM469" s="41"/>
      <c r="CN469" s="41"/>
      <c r="CO469" s="41"/>
      <c r="CP469" s="41"/>
      <c r="CQ469" s="41"/>
      <c r="CR469" s="41"/>
      <c r="CS469" s="41"/>
      <c r="CT469" s="41"/>
      <c r="CU469" s="41"/>
      <c r="CV469" s="41"/>
      <c r="CW469" s="41"/>
      <c r="CX469" s="41"/>
      <c r="CY469" s="41"/>
      <c r="CZ469" s="41"/>
      <c r="DA469" s="41"/>
      <c r="DB469" s="41"/>
      <c r="DC469" s="41"/>
      <c r="DD469" s="41"/>
      <c r="DE469" s="41"/>
      <c r="DF469" s="41"/>
      <c r="DG469" s="41"/>
      <c r="DH469" s="41"/>
      <c r="DI469" s="41"/>
      <c r="DJ469" s="41"/>
      <c r="DK469" s="41"/>
      <c r="DL469" s="41"/>
      <c r="DM469" s="41"/>
      <c r="DN469" s="41"/>
      <c r="DO469" s="41"/>
      <c r="DP469" s="41"/>
      <c r="DQ469" s="41"/>
      <c r="DR469" s="41"/>
      <c r="DS469" s="41"/>
      <c r="DT469" s="41"/>
      <c r="DU469" s="41"/>
      <c r="DV469" s="41"/>
      <c r="DW469" s="41"/>
      <c r="DX469" s="41"/>
    </row>
    <row r="470" spans="1:128" s="75" customFormat="1" ht="31.5" hidden="1" x14ac:dyDescent="0.25">
      <c r="A470" s="86" t="s">
        <v>894</v>
      </c>
      <c r="B470" s="87" t="s">
        <v>898</v>
      </c>
      <c r="C470" s="85" t="s">
        <v>32</v>
      </c>
      <c r="D470" s="85" t="s">
        <v>906</v>
      </c>
      <c r="E470" s="178"/>
      <c r="F470" s="178">
        <v>24272284.399999999</v>
      </c>
      <c r="G470" s="198">
        <f t="shared" si="12"/>
        <v>76854250.014250129</v>
      </c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  <c r="BJ470" s="41"/>
      <c r="BK470" s="41"/>
      <c r="BL470" s="41"/>
      <c r="BM470" s="41"/>
      <c r="BN470" s="41"/>
      <c r="BO470" s="41"/>
      <c r="BP470" s="41"/>
      <c r="BQ470" s="41"/>
      <c r="BR470" s="41"/>
      <c r="BS470" s="41"/>
      <c r="BT470" s="41"/>
      <c r="BU470" s="41"/>
      <c r="BV470" s="41"/>
      <c r="BW470" s="41"/>
      <c r="BX470" s="41"/>
      <c r="BY470" s="41"/>
      <c r="BZ470" s="41"/>
      <c r="CA470" s="41"/>
      <c r="CB470" s="41"/>
      <c r="CC470" s="41"/>
      <c r="CD470" s="41"/>
      <c r="CE470" s="41"/>
      <c r="CF470" s="41"/>
      <c r="CG470" s="41"/>
      <c r="CH470" s="41"/>
      <c r="CI470" s="41"/>
      <c r="CJ470" s="41"/>
      <c r="CK470" s="41"/>
      <c r="CL470" s="41"/>
      <c r="CM470" s="41"/>
      <c r="CN470" s="41"/>
      <c r="CO470" s="41"/>
      <c r="CP470" s="41"/>
      <c r="CQ470" s="41"/>
      <c r="CR470" s="41"/>
      <c r="CS470" s="41"/>
      <c r="CT470" s="41"/>
      <c r="CU470" s="41"/>
      <c r="CV470" s="41"/>
      <c r="CW470" s="41"/>
      <c r="CX470" s="41"/>
      <c r="CY470" s="41"/>
      <c r="CZ470" s="41"/>
      <c r="DA470" s="41"/>
      <c r="DB470" s="41"/>
      <c r="DC470" s="41"/>
      <c r="DD470" s="41"/>
      <c r="DE470" s="41"/>
      <c r="DF470" s="41"/>
      <c r="DG470" s="41"/>
      <c r="DH470" s="41"/>
      <c r="DI470" s="41"/>
      <c r="DJ470" s="41"/>
      <c r="DK470" s="41"/>
      <c r="DL470" s="41"/>
      <c r="DM470" s="41"/>
      <c r="DN470" s="41"/>
      <c r="DO470" s="41"/>
      <c r="DP470" s="41"/>
      <c r="DQ470" s="41"/>
      <c r="DR470" s="41"/>
      <c r="DS470" s="41"/>
      <c r="DT470" s="41"/>
      <c r="DU470" s="41"/>
      <c r="DV470" s="41"/>
      <c r="DW470" s="41"/>
      <c r="DX470" s="41"/>
    </row>
    <row r="471" spans="1:128" s="75" customFormat="1" ht="31.5" hidden="1" x14ac:dyDescent="0.25">
      <c r="A471" s="86" t="s">
        <v>894</v>
      </c>
      <c r="B471" s="87" t="s">
        <v>898</v>
      </c>
      <c r="C471" s="85" t="s">
        <v>32</v>
      </c>
      <c r="D471" s="85" t="s">
        <v>895</v>
      </c>
      <c r="E471" s="178"/>
      <c r="F471" s="178">
        <v>3064027.13</v>
      </c>
      <c r="G471" s="198">
        <f t="shared" si="12"/>
        <v>73790222.884250134</v>
      </c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  <c r="BJ471" s="41"/>
      <c r="BK471" s="41"/>
      <c r="BL471" s="41"/>
      <c r="BM471" s="41"/>
      <c r="BN471" s="41"/>
      <c r="BO471" s="41"/>
      <c r="BP471" s="41"/>
      <c r="BQ471" s="41"/>
      <c r="BR471" s="41"/>
      <c r="BS471" s="41"/>
      <c r="BT471" s="41"/>
      <c r="BU471" s="41"/>
      <c r="BV471" s="41"/>
      <c r="BW471" s="41"/>
      <c r="BX471" s="41"/>
      <c r="BY471" s="41"/>
      <c r="BZ471" s="41"/>
      <c r="CA471" s="41"/>
      <c r="CB471" s="41"/>
      <c r="CC471" s="41"/>
      <c r="CD471" s="41"/>
      <c r="CE471" s="41"/>
      <c r="CF471" s="41"/>
      <c r="CG471" s="41"/>
      <c r="CH471" s="41"/>
      <c r="CI471" s="41"/>
      <c r="CJ471" s="41"/>
      <c r="CK471" s="41"/>
      <c r="CL471" s="41"/>
      <c r="CM471" s="41"/>
      <c r="CN471" s="41"/>
      <c r="CO471" s="41"/>
      <c r="CP471" s="41"/>
      <c r="CQ471" s="41"/>
      <c r="CR471" s="41"/>
      <c r="CS471" s="41"/>
      <c r="CT471" s="41"/>
      <c r="CU471" s="41"/>
      <c r="CV471" s="41"/>
      <c r="CW471" s="41"/>
      <c r="CX471" s="41"/>
      <c r="CY471" s="41"/>
      <c r="CZ471" s="41"/>
      <c r="DA471" s="41"/>
      <c r="DB471" s="41"/>
      <c r="DC471" s="41"/>
      <c r="DD471" s="41"/>
      <c r="DE471" s="41"/>
      <c r="DF471" s="41"/>
      <c r="DG471" s="41"/>
      <c r="DH471" s="41"/>
      <c r="DI471" s="41"/>
      <c r="DJ471" s="41"/>
      <c r="DK471" s="41"/>
      <c r="DL471" s="41"/>
      <c r="DM471" s="41"/>
      <c r="DN471" s="41"/>
      <c r="DO471" s="41"/>
      <c r="DP471" s="41"/>
      <c r="DQ471" s="41"/>
      <c r="DR471" s="41"/>
      <c r="DS471" s="41"/>
      <c r="DT471" s="41"/>
      <c r="DU471" s="41"/>
      <c r="DV471" s="41"/>
      <c r="DW471" s="41"/>
      <c r="DX471" s="41"/>
    </row>
    <row r="472" spans="1:128" s="75" customFormat="1" ht="31.5" hidden="1" x14ac:dyDescent="0.25">
      <c r="A472" s="86" t="s">
        <v>894</v>
      </c>
      <c r="B472" s="87" t="s">
        <v>898</v>
      </c>
      <c r="C472" s="85" t="s">
        <v>32</v>
      </c>
      <c r="D472" s="85" t="s">
        <v>896</v>
      </c>
      <c r="E472" s="178"/>
      <c r="F472" s="178">
        <v>3879023.2199999997</v>
      </c>
      <c r="G472" s="198">
        <f t="shared" si="12"/>
        <v>69911199.664250135</v>
      </c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  <c r="BJ472" s="41"/>
      <c r="BK472" s="41"/>
      <c r="BL472" s="41"/>
      <c r="BM472" s="41"/>
      <c r="BN472" s="41"/>
      <c r="BO472" s="41"/>
      <c r="BP472" s="41"/>
      <c r="BQ472" s="41"/>
      <c r="BR472" s="41"/>
      <c r="BS472" s="41"/>
      <c r="BT472" s="41"/>
      <c r="BU472" s="41"/>
      <c r="BV472" s="41"/>
      <c r="BW472" s="41"/>
      <c r="BX472" s="41"/>
      <c r="BY472" s="41"/>
      <c r="BZ472" s="41"/>
      <c r="CA472" s="41"/>
      <c r="CB472" s="41"/>
      <c r="CC472" s="41"/>
      <c r="CD472" s="41"/>
      <c r="CE472" s="41"/>
      <c r="CF472" s="41"/>
      <c r="CG472" s="41"/>
      <c r="CH472" s="41"/>
      <c r="CI472" s="41"/>
      <c r="CJ472" s="41"/>
      <c r="CK472" s="41"/>
      <c r="CL472" s="41"/>
      <c r="CM472" s="41"/>
      <c r="CN472" s="41"/>
      <c r="CO472" s="41"/>
      <c r="CP472" s="41"/>
      <c r="CQ472" s="41"/>
      <c r="CR472" s="41"/>
      <c r="CS472" s="41"/>
      <c r="CT472" s="41"/>
      <c r="CU472" s="41"/>
      <c r="CV472" s="41"/>
      <c r="CW472" s="41"/>
      <c r="CX472" s="41"/>
      <c r="CY472" s="41"/>
      <c r="CZ472" s="41"/>
      <c r="DA472" s="41"/>
      <c r="DB472" s="41"/>
      <c r="DC472" s="41"/>
      <c r="DD472" s="41"/>
      <c r="DE472" s="41"/>
      <c r="DF472" s="41"/>
      <c r="DG472" s="41"/>
      <c r="DH472" s="41"/>
      <c r="DI472" s="41"/>
      <c r="DJ472" s="41"/>
      <c r="DK472" s="41"/>
      <c r="DL472" s="41"/>
      <c r="DM472" s="41"/>
      <c r="DN472" s="41"/>
      <c r="DO472" s="41"/>
      <c r="DP472" s="41"/>
      <c r="DQ472" s="41"/>
      <c r="DR472" s="41"/>
      <c r="DS472" s="41"/>
      <c r="DT472" s="41"/>
      <c r="DU472" s="41"/>
      <c r="DV472" s="41"/>
      <c r="DW472" s="41"/>
      <c r="DX472" s="41"/>
    </row>
    <row r="473" spans="1:128" s="75" customFormat="1" ht="15.75" hidden="1" x14ac:dyDescent="0.25">
      <c r="A473" s="86" t="s">
        <v>894</v>
      </c>
      <c r="B473" s="87" t="s">
        <v>898</v>
      </c>
      <c r="C473" s="85" t="s">
        <v>32</v>
      </c>
      <c r="D473" s="85" t="s">
        <v>897</v>
      </c>
      <c r="E473" s="178"/>
      <c r="F473" s="178">
        <v>318491.88</v>
      </c>
      <c r="G473" s="198">
        <f t="shared" si="12"/>
        <v>69592707.78425014</v>
      </c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  <c r="BJ473" s="41"/>
      <c r="BK473" s="41"/>
      <c r="BL473" s="41"/>
      <c r="BM473" s="41"/>
      <c r="BN473" s="41"/>
      <c r="BO473" s="41"/>
      <c r="BP473" s="41"/>
      <c r="BQ473" s="41"/>
      <c r="BR473" s="41"/>
      <c r="BS473" s="41"/>
      <c r="BT473" s="41"/>
      <c r="BU473" s="41"/>
      <c r="BV473" s="41"/>
      <c r="BW473" s="41"/>
      <c r="BX473" s="41"/>
      <c r="BY473" s="41"/>
      <c r="BZ473" s="41"/>
      <c r="CA473" s="41"/>
      <c r="CB473" s="41"/>
      <c r="CC473" s="41"/>
      <c r="CD473" s="41"/>
      <c r="CE473" s="41"/>
      <c r="CF473" s="41"/>
      <c r="CG473" s="41"/>
      <c r="CH473" s="41"/>
      <c r="CI473" s="41"/>
      <c r="CJ473" s="41"/>
      <c r="CK473" s="41"/>
      <c r="CL473" s="41"/>
      <c r="CM473" s="41"/>
      <c r="CN473" s="41"/>
      <c r="CO473" s="41"/>
      <c r="CP473" s="41"/>
      <c r="CQ473" s="41"/>
      <c r="CR473" s="41"/>
      <c r="CS473" s="41"/>
      <c r="CT473" s="41"/>
      <c r="CU473" s="41"/>
      <c r="CV473" s="41"/>
      <c r="CW473" s="41"/>
      <c r="CX473" s="41"/>
      <c r="CY473" s="41"/>
      <c r="CZ473" s="41"/>
      <c r="DA473" s="41"/>
      <c r="DB473" s="41"/>
      <c r="DC473" s="41"/>
      <c r="DD473" s="41"/>
      <c r="DE473" s="41"/>
      <c r="DF473" s="41"/>
      <c r="DG473" s="41"/>
      <c r="DH473" s="41"/>
      <c r="DI473" s="41"/>
      <c r="DJ473" s="41"/>
      <c r="DK473" s="41"/>
      <c r="DL473" s="41"/>
      <c r="DM473" s="41"/>
      <c r="DN473" s="41"/>
      <c r="DO473" s="41"/>
      <c r="DP473" s="41"/>
      <c r="DQ473" s="41"/>
      <c r="DR473" s="41"/>
      <c r="DS473" s="41"/>
      <c r="DT473" s="41"/>
      <c r="DU473" s="41"/>
      <c r="DV473" s="41"/>
      <c r="DW473" s="41"/>
      <c r="DX473" s="41"/>
    </row>
    <row r="474" spans="1:128" s="75" customFormat="1" ht="19.5" hidden="1" customHeight="1" x14ac:dyDescent="0.25">
      <c r="A474" s="86" t="s">
        <v>894</v>
      </c>
      <c r="B474" s="87" t="s">
        <v>899</v>
      </c>
      <c r="C474" s="85" t="s">
        <v>32</v>
      </c>
      <c r="D474" s="85" t="s">
        <v>900</v>
      </c>
      <c r="E474" s="178"/>
      <c r="F474" s="178">
        <v>8733799.0999999996</v>
      </c>
      <c r="G474" s="198">
        <f t="shared" si="12"/>
        <v>60858908.684250139</v>
      </c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  <c r="BO474" s="41"/>
      <c r="BP474" s="41"/>
      <c r="BQ474" s="41"/>
      <c r="BR474" s="41"/>
      <c r="BS474" s="41"/>
      <c r="BT474" s="41"/>
      <c r="BU474" s="41"/>
      <c r="BV474" s="41"/>
      <c r="BW474" s="41"/>
      <c r="BX474" s="41"/>
      <c r="BY474" s="41"/>
      <c r="BZ474" s="41"/>
      <c r="CA474" s="41"/>
      <c r="CB474" s="41"/>
      <c r="CC474" s="41"/>
      <c r="CD474" s="41"/>
      <c r="CE474" s="41"/>
      <c r="CF474" s="41"/>
      <c r="CG474" s="41"/>
      <c r="CH474" s="41"/>
      <c r="CI474" s="41"/>
      <c r="CJ474" s="41"/>
      <c r="CK474" s="41"/>
      <c r="CL474" s="41"/>
      <c r="CM474" s="41"/>
      <c r="CN474" s="41"/>
      <c r="CO474" s="41"/>
      <c r="CP474" s="41"/>
      <c r="CQ474" s="41"/>
      <c r="CR474" s="41"/>
      <c r="CS474" s="41"/>
      <c r="CT474" s="41"/>
      <c r="CU474" s="41"/>
      <c r="CV474" s="41"/>
      <c r="CW474" s="41"/>
      <c r="CX474" s="41"/>
      <c r="CY474" s="41"/>
      <c r="CZ474" s="41"/>
      <c r="DA474" s="41"/>
      <c r="DB474" s="41"/>
      <c r="DC474" s="41"/>
      <c r="DD474" s="41"/>
      <c r="DE474" s="41"/>
      <c r="DF474" s="41"/>
      <c r="DG474" s="41"/>
      <c r="DH474" s="41"/>
      <c r="DI474" s="41"/>
      <c r="DJ474" s="41"/>
      <c r="DK474" s="41"/>
      <c r="DL474" s="41"/>
      <c r="DM474" s="41"/>
      <c r="DN474" s="41"/>
      <c r="DO474" s="41"/>
      <c r="DP474" s="41"/>
      <c r="DQ474" s="41"/>
      <c r="DR474" s="41"/>
      <c r="DS474" s="41"/>
      <c r="DT474" s="41"/>
      <c r="DU474" s="41"/>
      <c r="DV474" s="41"/>
      <c r="DW474" s="41"/>
      <c r="DX474" s="41"/>
    </row>
    <row r="475" spans="1:128" s="75" customFormat="1" ht="28.5" hidden="1" customHeight="1" x14ac:dyDescent="0.25">
      <c r="A475" s="86" t="s">
        <v>894</v>
      </c>
      <c r="B475" s="87" t="s">
        <v>908</v>
      </c>
      <c r="C475" s="85" t="s">
        <v>32</v>
      </c>
      <c r="D475" s="85" t="s">
        <v>907</v>
      </c>
      <c r="E475" s="178"/>
      <c r="F475" s="178">
        <v>78000</v>
      </c>
      <c r="G475" s="198">
        <f t="shared" si="12"/>
        <v>60780908.684250139</v>
      </c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  <c r="BJ475" s="41"/>
      <c r="BK475" s="41"/>
      <c r="BL475" s="41"/>
      <c r="BM475" s="41"/>
      <c r="BN475" s="41"/>
      <c r="BO475" s="41"/>
      <c r="BP475" s="41"/>
      <c r="BQ475" s="41"/>
      <c r="BR475" s="41"/>
      <c r="BS475" s="41"/>
      <c r="BT475" s="41"/>
      <c r="BU475" s="41"/>
      <c r="BV475" s="41"/>
      <c r="BW475" s="41"/>
      <c r="BX475" s="41"/>
      <c r="BY475" s="41"/>
      <c r="BZ475" s="41"/>
      <c r="CA475" s="41"/>
      <c r="CB475" s="41"/>
      <c r="CC475" s="41"/>
      <c r="CD475" s="41"/>
      <c r="CE475" s="41"/>
      <c r="CF475" s="41"/>
      <c r="CG475" s="41"/>
      <c r="CH475" s="41"/>
      <c r="CI475" s="41"/>
      <c r="CJ475" s="41"/>
      <c r="CK475" s="41"/>
      <c r="CL475" s="41"/>
      <c r="CM475" s="41"/>
      <c r="CN475" s="41"/>
      <c r="CO475" s="41"/>
      <c r="CP475" s="41"/>
      <c r="CQ475" s="41"/>
      <c r="CR475" s="41"/>
      <c r="CS475" s="41"/>
      <c r="CT475" s="41"/>
      <c r="CU475" s="41"/>
      <c r="CV475" s="41"/>
      <c r="CW475" s="41"/>
      <c r="CX475" s="41"/>
      <c r="CY475" s="41"/>
      <c r="CZ475" s="41"/>
      <c r="DA475" s="41"/>
      <c r="DB475" s="41"/>
      <c r="DC475" s="41"/>
      <c r="DD475" s="41"/>
      <c r="DE475" s="41"/>
      <c r="DF475" s="41"/>
      <c r="DG475" s="41"/>
      <c r="DH475" s="41"/>
      <c r="DI475" s="41"/>
      <c r="DJ475" s="41"/>
      <c r="DK475" s="41"/>
      <c r="DL475" s="41"/>
      <c r="DM475" s="41"/>
      <c r="DN475" s="41"/>
      <c r="DO475" s="41"/>
      <c r="DP475" s="41"/>
      <c r="DQ475" s="41"/>
      <c r="DR475" s="41"/>
      <c r="DS475" s="41"/>
      <c r="DT475" s="41"/>
      <c r="DU475" s="41"/>
      <c r="DV475" s="41"/>
      <c r="DW475" s="41"/>
      <c r="DX475" s="41"/>
    </row>
    <row r="476" spans="1:128" s="75" customFormat="1" ht="19.5" hidden="1" customHeight="1" x14ac:dyDescent="0.25">
      <c r="A476" s="86" t="s">
        <v>894</v>
      </c>
      <c r="B476" s="87" t="s">
        <v>909</v>
      </c>
      <c r="C476" s="85" t="s">
        <v>32</v>
      </c>
      <c r="D476" s="85" t="s">
        <v>910</v>
      </c>
      <c r="E476" s="178"/>
      <c r="F476" s="178">
        <v>1102621.2</v>
      </c>
      <c r="G476" s="198">
        <f t="shared" si="12"/>
        <v>59678287.484250136</v>
      </c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  <c r="BJ476" s="41"/>
      <c r="BK476" s="41"/>
      <c r="BL476" s="41"/>
      <c r="BM476" s="41"/>
      <c r="BN476" s="41"/>
      <c r="BO476" s="41"/>
      <c r="BP476" s="41"/>
      <c r="BQ476" s="41"/>
      <c r="BR476" s="41"/>
      <c r="BS476" s="41"/>
      <c r="BT476" s="41"/>
      <c r="BU476" s="41"/>
      <c r="BV476" s="41"/>
      <c r="BW476" s="41"/>
      <c r="BX476" s="41"/>
      <c r="BY476" s="41"/>
      <c r="BZ476" s="41"/>
      <c r="CA476" s="41"/>
      <c r="CB476" s="41"/>
      <c r="CC476" s="41"/>
      <c r="CD476" s="41"/>
      <c r="CE476" s="41"/>
      <c r="CF476" s="41"/>
      <c r="CG476" s="41"/>
      <c r="CH476" s="41"/>
      <c r="CI476" s="41"/>
      <c r="CJ476" s="41"/>
      <c r="CK476" s="41"/>
      <c r="CL476" s="41"/>
      <c r="CM476" s="41"/>
      <c r="CN476" s="41"/>
      <c r="CO476" s="41"/>
      <c r="CP476" s="41"/>
      <c r="CQ476" s="41"/>
      <c r="CR476" s="41"/>
      <c r="CS476" s="41"/>
      <c r="CT476" s="41"/>
      <c r="CU476" s="41"/>
      <c r="CV476" s="41"/>
      <c r="CW476" s="41"/>
      <c r="CX476" s="41"/>
      <c r="CY476" s="41"/>
      <c r="CZ476" s="41"/>
      <c r="DA476" s="41"/>
      <c r="DB476" s="41"/>
      <c r="DC476" s="41"/>
      <c r="DD476" s="41"/>
      <c r="DE476" s="41"/>
      <c r="DF476" s="41"/>
      <c r="DG476" s="41"/>
      <c r="DH476" s="41"/>
      <c r="DI476" s="41"/>
      <c r="DJ476" s="41"/>
      <c r="DK476" s="41"/>
      <c r="DL476" s="41"/>
      <c r="DM476" s="41"/>
      <c r="DN476" s="41"/>
      <c r="DO476" s="41"/>
      <c r="DP476" s="41"/>
      <c r="DQ476" s="41"/>
      <c r="DR476" s="41"/>
      <c r="DS476" s="41"/>
      <c r="DT476" s="41"/>
      <c r="DU476" s="41"/>
      <c r="DV476" s="41"/>
      <c r="DW476" s="41"/>
      <c r="DX476" s="41"/>
    </row>
    <row r="477" spans="1:128" s="75" customFormat="1" ht="19.5" hidden="1" customHeight="1" x14ac:dyDescent="0.25">
      <c r="A477" s="86" t="s">
        <v>894</v>
      </c>
      <c r="B477" s="87"/>
      <c r="C477" s="85" t="s">
        <v>13</v>
      </c>
      <c r="D477" s="85" t="s">
        <v>22</v>
      </c>
      <c r="E477" s="178">
        <v>56670</v>
      </c>
      <c r="F477" s="178"/>
      <c r="G477" s="198">
        <f t="shared" si="12"/>
        <v>59734957.484250136</v>
      </c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  <c r="BJ477" s="41"/>
      <c r="BK477" s="41"/>
      <c r="BL477" s="41"/>
      <c r="BM477" s="41"/>
      <c r="BN477" s="41"/>
      <c r="BO477" s="41"/>
      <c r="BP477" s="41"/>
      <c r="BQ477" s="41"/>
      <c r="BR477" s="41"/>
      <c r="BS477" s="41"/>
      <c r="BT477" s="41"/>
      <c r="BU477" s="41"/>
      <c r="BV477" s="41"/>
      <c r="BW477" s="41"/>
      <c r="BX477" s="41"/>
      <c r="BY477" s="41"/>
      <c r="BZ477" s="41"/>
      <c r="CA477" s="41"/>
      <c r="CB477" s="41"/>
      <c r="CC477" s="41"/>
      <c r="CD477" s="41"/>
      <c r="CE477" s="41"/>
      <c r="CF477" s="41"/>
      <c r="CG477" s="41"/>
      <c r="CH477" s="41"/>
      <c r="CI477" s="41"/>
      <c r="CJ477" s="41"/>
      <c r="CK477" s="41"/>
      <c r="CL477" s="41"/>
      <c r="CM477" s="41"/>
      <c r="CN477" s="41"/>
      <c r="CO477" s="41"/>
      <c r="CP477" s="41"/>
      <c r="CQ477" s="41"/>
      <c r="CR477" s="41"/>
      <c r="CS477" s="41"/>
      <c r="CT477" s="41"/>
      <c r="CU477" s="41"/>
      <c r="CV477" s="41"/>
      <c r="CW477" s="41"/>
      <c r="CX477" s="41"/>
      <c r="CY477" s="41"/>
      <c r="CZ477" s="41"/>
      <c r="DA477" s="41"/>
      <c r="DB477" s="41"/>
      <c r="DC477" s="41"/>
      <c r="DD477" s="41"/>
      <c r="DE477" s="41"/>
      <c r="DF477" s="41"/>
      <c r="DG477" s="41"/>
      <c r="DH477" s="41"/>
      <c r="DI477" s="41"/>
      <c r="DJ477" s="41"/>
      <c r="DK477" s="41"/>
      <c r="DL477" s="41"/>
      <c r="DM477" s="41"/>
      <c r="DN477" s="41"/>
      <c r="DO477" s="41"/>
      <c r="DP477" s="41"/>
      <c r="DQ477" s="41"/>
      <c r="DR477" s="41"/>
      <c r="DS477" s="41"/>
      <c r="DT477" s="41"/>
      <c r="DU477" s="41"/>
      <c r="DV477" s="41"/>
      <c r="DW477" s="41"/>
      <c r="DX477" s="41"/>
    </row>
    <row r="478" spans="1:128" s="75" customFormat="1" ht="19.5" hidden="1" customHeight="1" x14ac:dyDescent="0.25">
      <c r="A478" s="86" t="s">
        <v>894</v>
      </c>
      <c r="B478" s="87"/>
      <c r="C478" s="85" t="s">
        <v>13</v>
      </c>
      <c r="D478" s="85" t="s">
        <v>48</v>
      </c>
      <c r="E478" s="178">
        <v>100</v>
      </c>
      <c r="F478" s="178">
        <f>E478*0.025</f>
        <v>2.5</v>
      </c>
      <c r="G478" s="199">
        <f t="shared" si="12"/>
        <v>59735054.984250136</v>
      </c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  <c r="BJ478" s="41"/>
      <c r="BK478" s="41"/>
      <c r="BL478" s="41"/>
      <c r="BM478" s="41"/>
      <c r="BN478" s="41"/>
      <c r="BO478" s="41"/>
      <c r="BP478" s="41"/>
      <c r="BQ478" s="41"/>
      <c r="BR478" s="41"/>
      <c r="BS478" s="41"/>
      <c r="BT478" s="41"/>
      <c r="BU478" s="41"/>
      <c r="BV478" s="41"/>
      <c r="BW478" s="41"/>
      <c r="BX478" s="41"/>
      <c r="BY478" s="41"/>
      <c r="BZ478" s="41"/>
      <c r="CA478" s="41"/>
      <c r="CB478" s="41"/>
      <c r="CC478" s="41"/>
      <c r="CD478" s="41"/>
      <c r="CE478" s="41"/>
      <c r="CF478" s="41"/>
      <c r="CG478" s="41"/>
      <c r="CH478" s="41"/>
      <c r="CI478" s="41"/>
      <c r="CJ478" s="41"/>
      <c r="CK478" s="41"/>
      <c r="CL478" s="41"/>
      <c r="CM478" s="41"/>
      <c r="CN478" s="41"/>
      <c r="CO478" s="41"/>
      <c r="CP478" s="41"/>
      <c r="CQ478" s="41"/>
      <c r="CR478" s="41"/>
      <c r="CS478" s="41"/>
      <c r="CT478" s="41"/>
      <c r="CU478" s="41"/>
      <c r="CV478" s="41"/>
      <c r="CW478" s="41"/>
      <c r="CX478" s="41"/>
      <c r="CY478" s="41"/>
      <c r="CZ478" s="41"/>
      <c r="DA478" s="41"/>
      <c r="DB478" s="41"/>
      <c r="DC478" s="41"/>
      <c r="DD478" s="41"/>
      <c r="DE478" s="41"/>
      <c r="DF478" s="41"/>
      <c r="DG478" s="41"/>
      <c r="DH478" s="41"/>
      <c r="DI478" s="41"/>
      <c r="DJ478" s="41"/>
      <c r="DK478" s="41"/>
      <c r="DL478" s="41"/>
      <c r="DM478" s="41"/>
      <c r="DN478" s="41"/>
      <c r="DO478" s="41"/>
      <c r="DP478" s="41"/>
      <c r="DQ478" s="41"/>
      <c r="DR478" s="41"/>
      <c r="DS478" s="41"/>
      <c r="DT478" s="41"/>
      <c r="DU478" s="41"/>
      <c r="DV478" s="41"/>
      <c r="DW478" s="41"/>
      <c r="DX478" s="41"/>
    </row>
    <row r="479" spans="1:128" s="75" customFormat="1" ht="19.5" hidden="1" customHeight="1" x14ac:dyDescent="0.25">
      <c r="A479" s="86" t="s">
        <v>890</v>
      </c>
      <c r="B479" s="207" t="s">
        <v>891</v>
      </c>
      <c r="C479" s="85" t="s">
        <v>892</v>
      </c>
      <c r="D479" s="85" t="s">
        <v>911</v>
      </c>
      <c r="E479" s="178"/>
      <c r="F479" s="178">
        <v>72320</v>
      </c>
      <c r="G479" s="198">
        <f t="shared" si="12"/>
        <v>59662734.984250136</v>
      </c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  <c r="BJ479" s="41"/>
      <c r="BK479" s="41"/>
      <c r="BL479" s="41"/>
      <c r="BM479" s="41"/>
      <c r="BN479" s="41"/>
      <c r="BO479" s="41"/>
      <c r="BP479" s="41"/>
      <c r="BQ479" s="41"/>
      <c r="BR479" s="41"/>
      <c r="BS479" s="41"/>
      <c r="BT479" s="41"/>
      <c r="BU479" s="41"/>
      <c r="BV479" s="41"/>
      <c r="BW479" s="41"/>
      <c r="BX479" s="41"/>
      <c r="BY479" s="41"/>
      <c r="BZ479" s="41"/>
      <c r="CA479" s="41"/>
      <c r="CB479" s="41"/>
      <c r="CC479" s="41"/>
      <c r="CD479" s="41"/>
      <c r="CE479" s="41"/>
      <c r="CF479" s="41"/>
      <c r="CG479" s="41"/>
      <c r="CH479" s="41"/>
      <c r="CI479" s="41"/>
      <c r="CJ479" s="41"/>
      <c r="CK479" s="41"/>
      <c r="CL479" s="41"/>
      <c r="CM479" s="41"/>
      <c r="CN479" s="41"/>
      <c r="CO479" s="41"/>
      <c r="CP479" s="41"/>
      <c r="CQ479" s="41"/>
      <c r="CR479" s="41"/>
      <c r="CS479" s="41"/>
      <c r="CT479" s="41"/>
      <c r="CU479" s="41"/>
      <c r="CV479" s="41"/>
      <c r="CW479" s="41"/>
      <c r="CX479" s="41"/>
      <c r="CY479" s="41"/>
      <c r="CZ479" s="41"/>
      <c r="DA479" s="41"/>
      <c r="DB479" s="41"/>
      <c r="DC479" s="41"/>
      <c r="DD479" s="41"/>
      <c r="DE479" s="41"/>
      <c r="DF479" s="41"/>
      <c r="DG479" s="41"/>
      <c r="DH479" s="41"/>
      <c r="DI479" s="41"/>
      <c r="DJ479" s="41"/>
      <c r="DK479" s="41"/>
      <c r="DL479" s="41"/>
      <c r="DM479" s="41"/>
      <c r="DN479" s="41"/>
      <c r="DO479" s="41"/>
      <c r="DP479" s="41"/>
      <c r="DQ479" s="41"/>
      <c r="DR479" s="41"/>
      <c r="DS479" s="41"/>
      <c r="DT479" s="41"/>
      <c r="DU479" s="41"/>
      <c r="DV479" s="41"/>
      <c r="DW479" s="41"/>
      <c r="DX479" s="41"/>
    </row>
    <row r="480" spans="1:128" s="75" customFormat="1" ht="19.5" hidden="1" customHeight="1" x14ac:dyDescent="0.25">
      <c r="A480" s="86" t="s">
        <v>890</v>
      </c>
      <c r="B480" s="87"/>
      <c r="C480" s="85" t="s">
        <v>13</v>
      </c>
      <c r="D480" s="85" t="s">
        <v>22</v>
      </c>
      <c r="E480" s="178">
        <v>37791</v>
      </c>
      <c r="F480" s="178"/>
      <c r="G480" s="198">
        <f t="shared" si="12"/>
        <v>59700525.984250136</v>
      </c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  <c r="BJ480" s="41"/>
      <c r="BK480" s="41"/>
      <c r="BL480" s="41"/>
      <c r="BM480" s="41"/>
      <c r="BN480" s="41"/>
      <c r="BO480" s="41"/>
      <c r="BP480" s="41"/>
      <c r="BQ480" s="41"/>
      <c r="BR480" s="41"/>
      <c r="BS480" s="41"/>
      <c r="BT480" s="41"/>
      <c r="BU480" s="41"/>
      <c r="BV480" s="41"/>
      <c r="BW480" s="41"/>
      <c r="BX480" s="41"/>
      <c r="BY480" s="41"/>
      <c r="BZ480" s="41"/>
      <c r="CA480" s="41"/>
      <c r="CB480" s="41"/>
      <c r="CC480" s="41"/>
      <c r="CD480" s="41"/>
      <c r="CE480" s="41"/>
      <c r="CF480" s="41"/>
      <c r="CG480" s="41"/>
      <c r="CH480" s="41"/>
      <c r="CI480" s="41"/>
      <c r="CJ480" s="41"/>
      <c r="CK480" s="41"/>
      <c r="CL480" s="41"/>
      <c r="CM480" s="41"/>
      <c r="CN480" s="41"/>
      <c r="CO480" s="41"/>
      <c r="CP480" s="41"/>
      <c r="CQ480" s="41"/>
      <c r="CR480" s="41"/>
      <c r="CS480" s="41"/>
      <c r="CT480" s="41"/>
      <c r="CU480" s="41"/>
      <c r="CV480" s="41"/>
      <c r="CW480" s="41"/>
      <c r="CX480" s="41"/>
      <c r="CY480" s="41"/>
      <c r="CZ480" s="41"/>
      <c r="DA480" s="41"/>
      <c r="DB480" s="41"/>
      <c r="DC480" s="41"/>
      <c r="DD480" s="41"/>
      <c r="DE480" s="41"/>
      <c r="DF480" s="41"/>
      <c r="DG480" s="41"/>
      <c r="DH480" s="41"/>
      <c r="DI480" s="41"/>
      <c r="DJ480" s="41"/>
      <c r="DK480" s="41"/>
      <c r="DL480" s="41"/>
      <c r="DM480" s="41"/>
      <c r="DN480" s="41"/>
      <c r="DO480" s="41"/>
      <c r="DP480" s="41"/>
      <c r="DQ480" s="41"/>
      <c r="DR480" s="41"/>
      <c r="DS480" s="41"/>
      <c r="DT480" s="41"/>
      <c r="DU480" s="41"/>
      <c r="DV480" s="41"/>
      <c r="DW480" s="41"/>
      <c r="DX480" s="41"/>
    </row>
    <row r="481" spans="1:128" s="75" customFormat="1" ht="19.5" hidden="1" customHeight="1" x14ac:dyDescent="0.25">
      <c r="A481" s="86" t="s">
        <v>890</v>
      </c>
      <c r="B481" s="87"/>
      <c r="C481" s="85" t="s">
        <v>13</v>
      </c>
      <c r="D481" s="85" t="s">
        <v>48</v>
      </c>
      <c r="E481" s="178">
        <v>70</v>
      </c>
      <c r="F481" s="178">
        <f>E481*0.025</f>
        <v>1.75</v>
      </c>
      <c r="G481" s="198">
        <f t="shared" si="12"/>
        <v>59700594.234250136</v>
      </c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41"/>
      <c r="BG481" s="41"/>
      <c r="BH481" s="41"/>
      <c r="BI481" s="41"/>
      <c r="BJ481" s="41"/>
      <c r="BK481" s="41"/>
      <c r="BL481" s="41"/>
      <c r="BM481" s="41"/>
      <c r="BN481" s="41"/>
      <c r="BO481" s="41"/>
      <c r="BP481" s="41"/>
      <c r="BQ481" s="41"/>
      <c r="BR481" s="41"/>
      <c r="BS481" s="41"/>
      <c r="BT481" s="41"/>
      <c r="BU481" s="41"/>
      <c r="BV481" s="41"/>
      <c r="BW481" s="41"/>
      <c r="BX481" s="41"/>
      <c r="BY481" s="41"/>
      <c r="BZ481" s="41"/>
      <c r="CA481" s="41"/>
      <c r="CB481" s="41"/>
      <c r="CC481" s="41"/>
      <c r="CD481" s="41"/>
      <c r="CE481" s="41"/>
      <c r="CF481" s="41"/>
      <c r="CG481" s="41"/>
      <c r="CH481" s="41"/>
      <c r="CI481" s="41"/>
      <c r="CJ481" s="41"/>
      <c r="CK481" s="41"/>
      <c r="CL481" s="41"/>
      <c r="CM481" s="41"/>
      <c r="CN481" s="41"/>
      <c r="CO481" s="41"/>
      <c r="CP481" s="41"/>
      <c r="CQ481" s="41"/>
      <c r="CR481" s="41"/>
      <c r="CS481" s="41"/>
      <c r="CT481" s="41"/>
      <c r="CU481" s="41"/>
      <c r="CV481" s="41"/>
      <c r="CW481" s="41"/>
      <c r="CX481" s="41"/>
      <c r="CY481" s="41"/>
      <c r="CZ481" s="41"/>
      <c r="DA481" s="41"/>
      <c r="DB481" s="41"/>
      <c r="DC481" s="41"/>
      <c r="DD481" s="41"/>
      <c r="DE481" s="41"/>
      <c r="DF481" s="41"/>
      <c r="DG481" s="41"/>
      <c r="DH481" s="41"/>
      <c r="DI481" s="41"/>
      <c r="DJ481" s="41"/>
      <c r="DK481" s="41"/>
      <c r="DL481" s="41"/>
      <c r="DM481" s="41"/>
      <c r="DN481" s="41"/>
      <c r="DO481" s="41"/>
      <c r="DP481" s="41"/>
      <c r="DQ481" s="41"/>
      <c r="DR481" s="41"/>
      <c r="DS481" s="41"/>
      <c r="DT481" s="41"/>
      <c r="DU481" s="41"/>
      <c r="DV481" s="41"/>
      <c r="DW481" s="41"/>
      <c r="DX481" s="41"/>
    </row>
    <row r="482" spans="1:128" s="75" customFormat="1" ht="19.5" hidden="1" customHeight="1" x14ac:dyDescent="0.25">
      <c r="A482" s="86" t="s">
        <v>890</v>
      </c>
      <c r="B482" s="87"/>
      <c r="C482" s="85" t="s">
        <v>13</v>
      </c>
      <c r="D482" s="85" t="s">
        <v>48</v>
      </c>
      <c r="E482" s="178">
        <v>100</v>
      </c>
      <c r="F482" s="178">
        <f t="shared" ref="F482:F498" si="13">E482*0.025</f>
        <v>2.5</v>
      </c>
      <c r="G482" s="198">
        <f t="shared" si="12"/>
        <v>59700691.734250136</v>
      </c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  <c r="BO482" s="41"/>
      <c r="BP482" s="41"/>
      <c r="BQ482" s="41"/>
      <c r="BR482" s="41"/>
      <c r="BS482" s="41"/>
      <c r="BT482" s="41"/>
      <c r="BU482" s="41"/>
      <c r="BV482" s="41"/>
      <c r="BW482" s="41"/>
      <c r="BX482" s="41"/>
      <c r="BY482" s="41"/>
      <c r="BZ482" s="41"/>
      <c r="CA482" s="41"/>
      <c r="CB482" s="41"/>
      <c r="CC482" s="41"/>
      <c r="CD482" s="41"/>
      <c r="CE482" s="41"/>
      <c r="CF482" s="41"/>
      <c r="CG482" s="41"/>
      <c r="CH482" s="41"/>
      <c r="CI482" s="41"/>
      <c r="CJ482" s="41"/>
      <c r="CK482" s="41"/>
      <c r="CL482" s="41"/>
      <c r="CM482" s="41"/>
      <c r="CN482" s="41"/>
      <c r="CO482" s="41"/>
      <c r="CP482" s="41"/>
      <c r="CQ482" s="41"/>
      <c r="CR482" s="41"/>
      <c r="CS482" s="41"/>
      <c r="CT482" s="41"/>
      <c r="CU482" s="41"/>
      <c r="CV482" s="41"/>
      <c r="CW482" s="41"/>
      <c r="CX482" s="41"/>
      <c r="CY482" s="41"/>
      <c r="CZ482" s="41"/>
      <c r="DA482" s="41"/>
      <c r="DB482" s="41"/>
      <c r="DC482" s="41"/>
      <c r="DD482" s="41"/>
      <c r="DE482" s="41"/>
      <c r="DF482" s="41"/>
      <c r="DG482" s="41"/>
      <c r="DH482" s="41"/>
      <c r="DI482" s="41"/>
      <c r="DJ482" s="41"/>
      <c r="DK482" s="41"/>
      <c r="DL482" s="41"/>
      <c r="DM482" s="41"/>
      <c r="DN482" s="41"/>
      <c r="DO482" s="41"/>
      <c r="DP482" s="41"/>
      <c r="DQ482" s="41"/>
      <c r="DR482" s="41"/>
      <c r="DS482" s="41"/>
      <c r="DT482" s="41"/>
      <c r="DU482" s="41"/>
      <c r="DV482" s="41"/>
      <c r="DW482" s="41"/>
      <c r="DX482" s="41"/>
    </row>
    <row r="483" spans="1:128" s="75" customFormat="1" ht="19.5" hidden="1" customHeight="1" x14ac:dyDescent="0.25">
      <c r="A483" s="86" t="s">
        <v>890</v>
      </c>
      <c r="B483" s="87"/>
      <c r="C483" s="85" t="s">
        <v>13</v>
      </c>
      <c r="D483" s="85" t="s">
        <v>48</v>
      </c>
      <c r="E483" s="178">
        <v>690.4</v>
      </c>
      <c r="F483" s="178">
        <f t="shared" si="13"/>
        <v>17.260000000000002</v>
      </c>
      <c r="G483" s="198">
        <f t="shared" si="12"/>
        <v>59701364.874250136</v>
      </c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  <c r="BJ483" s="41"/>
      <c r="BK483" s="41"/>
      <c r="BL483" s="41"/>
      <c r="BM483" s="41"/>
      <c r="BN483" s="41"/>
      <c r="BO483" s="41"/>
      <c r="BP483" s="41"/>
      <c r="BQ483" s="41"/>
      <c r="BR483" s="41"/>
      <c r="BS483" s="41"/>
      <c r="BT483" s="41"/>
      <c r="BU483" s="41"/>
      <c r="BV483" s="41"/>
      <c r="BW483" s="41"/>
      <c r="BX483" s="41"/>
      <c r="BY483" s="41"/>
      <c r="BZ483" s="41"/>
      <c r="CA483" s="41"/>
      <c r="CB483" s="41"/>
      <c r="CC483" s="41"/>
      <c r="CD483" s="41"/>
      <c r="CE483" s="41"/>
      <c r="CF483" s="41"/>
      <c r="CG483" s="41"/>
      <c r="CH483" s="41"/>
      <c r="CI483" s="41"/>
      <c r="CJ483" s="41"/>
      <c r="CK483" s="41"/>
      <c r="CL483" s="41"/>
      <c r="CM483" s="41"/>
      <c r="CN483" s="41"/>
      <c r="CO483" s="41"/>
      <c r="CP483" s="41"/>
      <c r="CQ483" s="41"/>
      <c r="CR483" s="41"/>
      <c r="CS483" s="41"/>
      <c r="CT483" s="41"/>
      <c r="CU483" s="41"/>
      <c r="CV483" s="41"/>
      <c r="CW483" s="41"/>
      <c r="CX483" s="41"/>
      <c r="CY483" s="41"/>
      <c r="CZ483" s="41"/>
      <c r="DA483" s="41"/>
      <c r="DB483" s="41"/>
      <c r="DC483" s="41"/>
      <c r="DD483" s="41"/>
      <c r="DE483" s="41"/>
      <c r="DF483" s="41"/>
      <c r="DG483" s="41"/>
      <c r="DH483" s="41"/>
      <c r="DI483" s="41"/>
      <c r="DJ483" s="41"/>
      <c r="DK483" s="41"/>
      <c r="DL483" s="41"/>
      <c r="DM483" s="41"/>
      <c r="DN483" s="41"/>
      <c r="DO483" s="41"/>
      <c r="DP483" s="41"/>
      <c r="DQ483" s="41"/>
      <c r="DR483" s="41"/>
      <c r="DS483" s="41"/>
      <c r="DT483" s="41"/>
      <c r="DU483" s="41"/>
      <c r="DV483" s="41"/>
      <c r="DW483" s="41"/>
      <c r="DX483" s="41"/>
    </row>
    <row r="484" spans="1:128" s="75" customFormat="1" ht="19.5" hidden="1" customHeight="1" x14ac:dyDescent="0.25">
      <c r="A484" s="86" t="s">
        <v>890</v>
      </c>
      <c r="B484" s="87"/>
      <c r="C484" s="85" t="s">
        <v>13</v>
      </c>
      <c r="D484" s="85" t="s">
        <v>48</v>
      </c>
      <c r="E484" s="178">
        <v>400</v>
      </c>
      <c r="F484" s="178">
        <f t="shared" si="13"/>
        <v>10</v>
      </c>
      <c r="G484" s="199">
        <f t="shared" si="12"/>
        <v>59701754.874250136</v>
      </c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  <c r="BJ484" s="41"/>
      <c r="BK484" s="41"/>
      <c r="BL484" s="41"/>
      <c r="BM484" s="41"/>
      <c r="BN484" s="41"/>
      <c r="BO484" s="41"/>
      <c r="BP484" s="41"/>
      <c r="BQ484" s="41"/>
      <c r="BR484" s="41"/>
      <c r="BS484" s="41"/>
      <c r="BT484" s="41"/>
      <c r="BU484" s="41"/>
      <c r="BV484" s="41"/>
      <c r="BW484" s="41"/>
      <c r="BX484" s="41"/>
      <c r="BY484" s="41"/>
      <c r="BZ484" s="41"/>
      <c r="CA484" s="41"/>
      <c r="CB484" s="41"/>
      <c r="CC484" s="41"/>
      <c r="CD484" s="41"/>
      <c r="CE484" s="41"/>
      <c r="CF484" s="41"/>
      <c r="CG484" s="41"/>
      <c r="CH484" s="41"/>
      <c r="CI484" s="41"/>
      <c r="CJ484" s="41"/>
      <c r="CK484" s="41"/>
      <c r="CL484" s="41"/>
      <c r="CM484" s="41"/>
      <c r="CN484" s="41"/>
      <c r="CO484" s="41"/>
      <c r="CP484" s="41"/>
      <c r="CQ484" s="41"/>
      <c r="CR484" s="41"/>
      <c r="CS484" s="41"/>
      <c r="CT484" s="41"/>
      <c r="CU484" s="41"/>
      <c r="CV484" s="41"/>
      <c r="CW484" s="41"/>
      <c r="CX484" s="41"/>
      <c r="CY484" s="41"/>
      <c r="CZ484" s="41"/>
      <c r="DA484" s="41"/>
      <c r="DB484" s="41"/>
      <c r="DC484" s="41"/>
      <c r="DD484" s="41"/>
      <c r="DE484" s="41"/>
      <c r="DF484" s="41"/>
      <c r="DG484" s="41"/>
      <c r="DH484" s="41"/>
      <c r="DI484" s="41"/>
      <c r="DJ484" s="41"/>
      <c r="DK484" s="41"/>
      <c r="DL484" s="41"/>
      <c r="DM484" s="41"/>
      <c r="DN484" s="41"/>
      <c r="DO484" s="41"/>
      <c r="DP484" s="41"/>
      <c r="DQ484" s="41"/>
      <c r="DR484" s="41"/>
      <c r="DS484" s="41"/>
      <c r="DT484" s="41"/>
      <c r="DU484" s="41"/>
      <c r="DV484" s="41"/>
      <c r="DW484" s="41"/>
      <c r="DX484" s="41"/>
    </row>
    <row r="485" spans="1:128" s="75" customFormat="1" ht="19.5" hidden="1" customHeight="1" x14ac:dyDescent="0.25">
      <c r="A485" s="86" t="s">
        <v>913</v>
      </c>
      <c r="B485" s="87"/>
      <c r="C485" s="85" t="s">
        <v>13</v>
      </c>
      <c r="D485" s="85" t="s">
        <v>22</v>
      </c>
      <c r="E485" s="178">
        <v>34682</v>
      </c>
      <c r="F485" s="178"/>
      <c r="G485" s="198">
        <f t="shared" si="12"/>
        <v>59736436.874250136</v>
      </c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  <c r="BJ485" s="41"/>
      <c r="BK485" s="41"/>
      <c r="BL485" s="41"/>
      <c r="BM485" s="41"/>
      <c r="BN485" s="41"/>
      <c r="BO485" s="41"/>
      <c r="BP485" s="41"/>
      <c r="BQ485" s="41"/>
      <c r="BR485" s="41"/>
      <c r="BS485" s="41"/>
      <c r="BT485" s="41"/>
      <c r="BU485" s="41"/>
      <c r="BV485" s="41"/>
      <c r="BW485" s="41"/>
      <c r="BX485" s="41"/>
      <c r="BY485" s="41"/>
      <c r="BZ485" s="41"/>
      <c r="CA485" s="41"/>
      <c r="CB485" s="41"/>
      <c r="CC485" s="41"/>
      <c r="CD485" s="41"/>
      <c r="CE485" s="41"/>
      <c r="CF485" s="41"/>
      <c r="CG485" s="41"/>
      <c r="CH485" s="41"/>
      <c r="CI485" s="41"/>
      <c r="CJ485" s="41"/>
      <c r="CK485" s="41"/>
      <c r="CL485" s="41"/>
      <c r="CM485" s="41"/>
      <c r="CN485" s="41"/>
      <c r="CO485" s="41"/>
      <c r="CP485" s="41"/>
      <c r="CQ485" s="41"/>
      <c r="CR485" s="41"/>
      <c r="CS485" s="41"/>
      <c r="CT485" s="41"/>
      <c r="CU485" s="41"/>
      <c r="CV485" s="41"/>
      <c r="CW485" s="41"/>
      <c r="CX485" s="41"/>
      <c r="CY485" s="41"/>
      <c r="CZ485" s="41"/>
      <c r="DA485" s="41"/>
      <c r="DB485" s="41"/>
      <c r="DC485" s="41"/>
      <c r="DD485" s="41"/>
      <c r="DE485" s="41"/>
      <c r="DF485" s="41"/>
      <c r="DG485" s="41"/>
      <c r="DH485" s="41"/>
      <c r="DI485" s="41"/>
      <c r="DJ485" s="41"/>
      <c r="DK485" s="41"/>
      <c r="DL485" s="41"/>
      <c r="DM485" s="41"/>
      <c r="DN485" s="41"/>
      <c r="DO485" s="41"/>
      <c r="DP485" s="41"/>
      <c r="DQ485" s="41"/>
      <c r="DR485" s="41"/>
      <c r="DS485" s="41"/>
      <c r="DT485" s="41"/>
      <c r="DU485" s="41"/>
      <c r="DV485" s="41"/>
      <c r="DW485" s="41"/>
      <c r="DX485" s="41"/>
    </row>
    <row r="486" spans="1:128" s="75" customFormat="1" ht="19.5" hidden="1" customHeight="1" x14ac:dyDescent="0.25">
      <c r="A486" s="86" t="s">
        <v>913</v>
      </c>
      <c r="B486" s="87"/>
      <c r="C486" s="85" t="s">
        <v>13</v>
      </c>
      <c r="D486" s="85" t="s">
        <v>48</v>
      </c>
      <c r="E486" s="178">
        <v>60</v>
      </c>
      <c r="F486" s="178">
        <f t="shared" si="13"/>
        <v>1.5</v>
      </c>
      <c r="G486" s="198">
        <f t="shared" si="12"/>
        <v>59736495.374250136</v>
      </c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41"/>
      <c r="BG486" s="41"/>
      <c r="BH486" s="41"/>
      <c r="BI486" s="41"/>
      <c r="BJ486" s="41"/>
      <c r="BK486" s="41"/>
      <c r="BL486" s="41"/>
      <c r="BM486" s="41"/>
      <c r="BN486" s="41"/>
      <c r="BO486" s="41"/>
      <c r="BP486" s="41"/>
      <c r="BQ486" s="41"/>
      <c r="BR486" s="41"/>
      <c r="BS486" s="41"/>
      <c r="BT486" s="41"/>
      <c r="BU486" s="41"/>
      <c r="BV486" s="41"/>
      <c r="BW486" s="41"/>
      <c r="BX486" s="41"/>
      <c r="BY486" s="41"/>
      <c r="BZ486" s="41"/>
      <c r="CA486" s="41"/>
      <c r="CB486" s="41"/>
      <c r="CC486" s="41"/>
      <c r="CD486" s="41"/>
      <c r="CE486" s="41"/>
      <c r="CF486" s="41"/>
      <c r="CG486" s="41"/>
      <c r="CH486" s="41"/>
      <c r="CI486" s="41"/>
      <c r="CJ486" s="41"/>
      <c r="CK486" s="41"/>
      <c r="CL486" s="41"/>
      <c r="CM486" s="41"/>
      <c r="CN486" s="41"/>
      <c r="CO486" s="41"/>
      <c r="CP486" s="41"/>
      <c r="CQ486" s="41"/>
      <c r="CR486" s="41"/>
      <c r="CS486" s="41"/>
      <c r="CT486" s="41"/>
      <c r="CU486" s="41"/>
      <c r="CV486" s="41"/>
      <c r="CW486" s="41"/>
      <c r="CX486" s="41"/>
      <c r="CY486" s="41"/>
      <c r="CZ486" s="41"/>
      <c r="DA486" s="41"/>
      <c r="DB486" s="41"/>
      <c r="DC486" s="41"/>
      <c r="DD486" s="41"/>
      <c r="DE486" s="41"/>
      <c r="DF486" s="41"/>
      <c r="DG486" s="41"/>
      <c r="DH486" s="41"/>
      <c r="DI486" s="41"/>
      <c r="DJ486" s="41"/>
      <c r="DK486" s="41"/>
      <c r="DL486" s="41"/>
      <c r="DM486" s="41"/>
      <c r="DN486" s="41"/>
      <c r="DO486" s="41"/>
      <c r="DP486" s="41"/>
      <c r="DQ486" s="41"/>
      <c r="DR486" s="41"/>
      <c r="DS486" s="41"/>
      <c r="DT486" s="41"/>
      <c r="DU486" s="41"/>
      <c r="DV486" s="41"/>
      <c r="DW486" s="41"/>
      <c r="DX486" s="41"/>
    </row>
    <row r="487" spans="1:128" s="75" customFormat="1" ht="19.5" hidden="1" customHeight="1" x14ac:dyDescent="0.25">
      <c r="A487" s="86" t="s">
        <v>913</v>
      </c>
      <c r="B487" s="87"/>
      <c r="C487" s="85" t="s">
        <v>13</v>
      </c>
      <c r="D487" s="85" t="s">
        <v>48</v>
      </c>
      <c r="E487" s="178">
        <v>15200</v>
      </c>
      <c r="F487" s="178">
        <f t="shared" si="13"/>
        <v>380</v>
      </c>
      <c r="G487" s="198">
        <f t="shared" si="12"/>
        <v>59751315.374250136</v>
      </c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  <c r="BJ487" s="41"/>
      <c r="BK487" s="41"/>
      <c r="BL487" s="41"/>
      <c r="BM487" s="41"/>
      <c r="BN487" s="41"/>
      <c r="BO487" s="41"/>
      <c r="BP487" s="41"/>
      <c r="BQ487" s="41"/>
      <c r="BR487" s="41"/>
      <c r="BS487" s="41"/>
      <c r="BT487" s="41"/>
      <c r="BU487" s="41"/>
      <c r="BV487" s="41"/>
      <c r="BW487" s="41"/>
      <c r="BX487" s="41"/>
      <c r="BY487" s="41"/>
      <c r="BZ487" s="41"/>
      <c r="CA487" s="41"/>
      <c r="CB487" s="41"/>
      <c r="CC487" s="41"/>
      <c r="CD487" s="41"/>
      <c r="CE487" s="41"/>
      <c r="CF487" s="41"/>
      <c r="CG487" s="41"/>
      <c r="CH487" s="41"/>
      <c r="CI487" s="41"/>
      <c r="CJ487" s="41"/>
      <c r="CK487" s="41"/>
      <c r="CL487" s="41"/>
      <c r="CM487" s="41"/>
      <c r="CN487" s="41"/>
      <c r="CO487" s="41"/>
      <c r="CP487" s="41"/>
      <c r="CQ487" s="41"/>
      <c r="CR487" s="41"/>
      <c r="CS487" s="41"/>
      <c r="CT487" s="41"/>
      <c r="CU487" s="41"/>
      <c r="CV487" s="41"/>
      <c r="CW487" s="41"/>
      <c r="CX487" s="41"/>
      <c r="CY487" s="41"/>
      <c r="CZ487" s="41"/>
      <c r="DA487" s="41"/>
      <c r="DB487" s="41"/>
      <c r="DC487" s="41"/>
      <c r="DD487" s="41"/>
      <c r="DE487" s="41"/>
      <c r="DF487" s="41"/>
      <c r="DG487" s="41"/>
      <c r="DH487" s="41"/>
      <c r="DI487" s="41"/>
      <c r="DJ487" s="41"/>
      <c r="DK487" s="41"/>
      <c r="DL487" s="41"/>
      <c r="DM487" s="41"/>
      <c r="DN487" s="41"/>
      <c r="DO487" s="41"/>
      <c r="DP487" s="41"/>
      <c r="DQ487" s="41"/>
      <c r="DR487" s="41"/>
      <c r="DS487" s="41"/>
      <c r="DT487" s="41"/>
      <c r="DU487" s="41"/>
      <c r="DV487" s="41"/>
      <c r="DW487" s="41"/>
      <c r="DX487" s="41"/>
    </row>
    <row r="488" spans="1:128" s="75" customFormat="1" ht="31.5" hidden="1" x14ac:dyDescent="0.25">
      <c r="A488" s="86" t="s">
        <v>913</v>
      </c>
      <c r="B488" s="87" t="s">
        <v>967</v>
      </c>
      <c r="C488" s="85" t="s">
        <v>931</v>
      </c>
      <c r="D488" s="85" t="s">
        <v>930</v>
      </c>
      <c r="E488" s="178"/>
      <c r="F488" s="178">
        <v>16711808.98</v>
      </c>
      <c r="G488" s="199">
        <f t="shared" si="12"/>
        <v>43039506.39425014</v>
      </c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  <c r="BJ488" s="41"/>
      <c r="BK488" s="41"/>
      <c r="BL488" s="41"/>
      <c r="BM488" s="41"/>
      <c r="BN488" s="41"/>
      <c r="BO488" s="41"/>
      <c r="BP488" s="41"/>
      <c r="BQ488" s="41"/>
      <c r="BR488" s="41"/>
      <c r="BS488" s="41"/>
      <c r="BT488" s="41"/>
      <c r="BU488" s="41"/>
      <c r="BV488" s="41"/>
      <c r="BW488" s="41"/>
      <c r="BX488" s="41"/>
      <c r="BY488" s="41"/>
      <c r="BZ488" s="41"/>
      <c r="CA488" s="41"/>
      <c r="CB488" s="41"/>
      <c r="CC488" s="41"/>
      <c r="CD488" s="41"/>
      <c r="CE488" s="41"/>
      <c r="CF488" s="41"/>
      <c r="CG488" s="41"/>
      <c r="CH488" s="41"/>
      <c r="CI488" s="41"/>
      <c r="CJ488" s="41"/>
      <c r="CK488" s="41"/>
      <c r="CL488" s="41"/>
      <c r="CM488" s="41"/>
      <c r="CN488" s="41"/>
      <c r="CO488" s="41"/>
      <c r="CP488" s="41"/>
      <c r="CQ488" s="41"/>
      <c r="CR488" s="41"/>
      <c r="CS488" s="41"/>
      <c r="CT488" s="41"/>
      <c r="CU488" s="41"/>
      <c r="CV488" s="41"/>
      <c r="CW488" s="41"/>
      <c r="CX488" s="41"/>
      <c r="CY488" s="41"/>
      <c r="CZ488" s="41"/>
      <c r="DA488" s="41"/>
      <c r="DB488" s="41"/>
      <c r="DC488" s="41"/>
      <c r="DD488" s="41"/>
      <c r="DE488" s="41"/>
      <c r="DF488" s="41"/>
      <c r="DG488" s="41"/>
      <c r="DH488" s="41"/>
      <c r="DI488" s="41"/>
      <c r="DJ488" s="41"/>
      <c r="DK488" s="41"/>
      <c r="DL488" s="41"/>
      <c r="DM488" s="41"/>
      <c r="DN488" s="41"/>
      <c r="DO488" s="41"/>
      <c r="DP488" s="41"/>
      <c r="DQ488" s="41"/>
      <c r="DR488" s="41"/>
      <c r="DS488" s="41"/>
      <c r="DT488" s="41"/>
      <c r="DU488" s="41"/>
      <c r="DV488" s="41"/>
      <c r="DW488" s="41"/>
      <c r="DX488" s="41"/>
    </row>
    <row r="489" spans="1:128" s="75" customFormat="1" ht="19.5" hidden="1" customHeight="1" x14ac:dyDescent="0.25">
      <c r="A489" s="86" t="s">
        <v>914</v>
      </c>
      <c r="B489" s="87"/>
      <c r="C489" s="85" t="s">
        <v>13</v>
      </c>
      <c r="D489" s="85" t="s">
        <v>22</v>
      </c>
      <c r="E489" s="178">
        <v>99294</v>
      </c>
      <c r="F489" s="178"/>
      <c r="G489" s="198">
        <f t="shared" si="12"/>
        <v>43138800.39425014</v>
      </c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41"/>
      <c r="BG489" s="41"/>
      <c r="BH489" s="41"/>
      <c r="BI489" s="41"/>
      <c r="BJ489" s="41"/>
      <c r="BK489" s="41"/>
      <c r="BL489" s="41"/>
      <c r="BM489" s="41"/>
      <c r="BN489" s="41"/>
      <c r="BO489" s="41"/>
      <c r="BP489" s="41"/>
      <c r="BQ489" s="41"/>
      <c r="BR489" s="41"/>
      <c r="BS489" s="41"/>
      <c r="BT489" s="41"/>
      <c r="BU489" s="41"/>
      <c r="BV489" s="41"/>
      <c r="BW489" s="41"/>
      <c r="BX489" s="41"/>
      <c r="BY489" s="41"/>
      <c r="BZ489" s="41"/>
      <c r="CA489" s="41"/>
      <c r="CB489" s="41"/>
      <c r="CC489" s="41"/>
      <c r="CD489" s="41"/>
      <c r="CE489" s="41"/>
      <c r="CF489" s="41"/>
      <c r="CG489" s="41"/>
      <c r="CH489" s="41"/>
      <c r="CI489" s="41"/>
      <c r="CJ489" s="41"/>
      <c r="CK489" s="41"/>
      <c r="CL489" s="41"/>
      <c r="CM489" s="41"/>
      <c r="CN489" s="41"/>
      <c r="CO489" s="41"/>
      <c r="CP489" s="41"/>
      <c r="CQ489" s="41"/>
      <c r="CR489" s="41"/>
      <c r="CS489" s="41"/>
      <c r="CT489" s="41"/>
      <c r="CU489" s="41"/>
      <c r="CV489" s="41"/>
      <c r="CW489" s="41"/>
      <c r="CX489" s="41"/>
      <c r="CY489" s="41"/>
      <c r="CZ489" s="41"/>
      <c r="DA489" s="41"/>
      <c r="DB489" s="41"/>
      <c r="DC489" s="41"/>
      <c r="DD489" s="41"/>
      <c r="DE489" s="41"/>
      <c r="DF489" s="41"/>
      <c r="DG489" s="41"/>
      <c r="DH489" s="41"/>
      <c r="DI489" s="41"/>
      <c r="DJ489" s="41"/>
      <c r="DK489" s="41"/>
      <c r="DL489" s="41"/>
      <c r="DM489" s="41"/>
      <c r="DN489" s="41"/>
      <c r="DO489" s="41"/>
      <c r="DP489" s="41"/>
      <c r="DQ489" s="41"/>
      <c r="DR489" s="41"/>
      <c r="DS489" s="41"/>
      <c r="DT489" s="41"/>
      <c r="DU489" s="41"/>
      <c r="DV489" s="41"/>
      <c r="DW489" s="41"/>
      <c r="DX489" s="41"/>
    </row>
    <row r="490" spans="1:128" s="75" customFormat="1" ht="19.5" hidden="1" customHeight="1" x14ac:dyDescent="0.25">
      <c r="A490" s="86" t="s">
        <v>914</v>
      </c>
      <c r="B490" s="87"/>
      <c r="C490" s="85" t="s">
        <v>13</v>
      </c>
      <c r="D490" s="85" t="s">
        <v>48</v>
      </c>
      <c r="E490" s="178">
        <v>300</v>
      </c>
      <c r="F490" s="178">
        <f t="shared" si="13"/>
        <v>7.5</v>
      </c>
      <c r="G490" s="198">
        <f t="shared" si="12"/>
        <v>43139092.89425014</v>
      </c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41"/>
      <c r="BG490" s="41"/>
      <c r="BH490" s="41"/>
      <c r="BI490" s="41"/>
      <c r="BJ490" s="41"/>
      <c r="BK490" s="41"/>
      <c r="BL490" s="41"/>
      <c r="BM490" s="41"/>
      <c r="BN490" s="41"/>
      <c r="BO490" s="41"/>
      <c r="BP490" s="41"/>
      <c r="BQ490" s="41"/>
      <c r="BR490" s="41"/>
      <c r="BS490" s="41"/>
      <c r="BT490" s="41"/>
      <c r="BU490" s="41"/>
      <c r="BV490" s="41"/>
      <c r="BW490" s="41"/>
      <c r="BX490" s="41"/>
      <c r="BY490" s="41"/>
      <c r="BZ490" s="41"/>
      <c r="CA490" s="41"/>
      <c r="CB490" s="41"/>
      <c r="CC490" s="41"/>
      <c r="CD490" s="41"/>
      <c r="CE490" s="41"/>
      <c r="CF490" s="41"/>
      <c r="CG490" s="41"/>
      <c r="CH490" s="41"/>
      <c r="CI490" s="41"/>
      <c r="CJ490" s="41"/>
      <c r="CK490" s="41"/>
      <c r="CL490" s="41"/>
      <c r="CM490" s="41"/>
      <c r="CN490" s="41"/>
      <c r="CO490" s="41"/>
      <c r="CP490" s="41"/>
      <c r="CQ490" s="41"/>
      <c r="CR490" s="41"/>
      <c r="CS490" s="41"/>
      <c r="CT490" s="41"/>
      <c r="CU490" s="41"/>
      <c r="CV490" s="41"/>
      <c r="CW490" s="41"/>
      <c r="CX490" s="41"/>
      <c r="CY490" s="41"/>
      <c r="CZ490" s="41"/>
      <c r="DA490" s="41"/>
      <c r="DB490" s="41"/>
      <c r="DC490" s="41"/>
      <c r="DD490" s="41"/>
      <c r="DE490" s="41"/>
      <c r="DF490" s="41"/>
      <c r="DG490" s="41"/>
      <c r="DH490" s="41"/>
      <c r="DI490" s="41"/>
      <c r="DJ490" s="41"/>
      <c r="DK490" s="41"/>
      <c r="DL490" s="41"/>
      <c r="DM490" s="41"/>
      <c r="DN490" s="41"/>
      <c r="DO490" s="41"/>
      <c r="DP490" s="41"/>
      <c r="DQ490" s="41"/>
      <c r="DR490" s="41"/>
      <c r="DS490" s="41"/>
      <c r="DT490" s="41"/>
      <c r="DU490" s="41"/>
      <c r="DV490" s="41"/>
      <c r="DW490" s="41"/>
      <c r="DX490" s="41"/>
    </row>
    <row r="491" spans="1:128" s="75" customFormat="1" ht="19.5" hidden="1" customHeight="1" x14ac:dyDescent="0.25">
      <c r="A491" s="86" t="s">
        <v>914</v>
      </c>
      <c r="B491" s="87"/>
      <c r="C491" s="85" t="s">
        <v>13</v>
      </c>
      <c r="D491" s="85" t="s">
        <v>48</v>
      </c>
      <c r="E491" s="178">
        <v>1225</v>
      </c>
      <c r="F491" s="178">
        <f t="shared" si="13"/>
        <v>30.625</v>
      </c>
      <c r="G491" s="198">
        <f t="shared" si="12"/>
        <v>43140287.26925014</v>
      </c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  <c r="BJ491" s="41"/>
      <c r="BK491" s="41"/>
      <c r="BL491" s="41"/>
      <c r="BM491" s="41"/>
      <c r="BN491" s="41"/>
      <c r="BO491" s="41"/>
      <c r="BP491" s="41"/>
      <c r="BQ491" s="41"/>
      <c r="BR491" s="41"/>
      <c r="BS491" s="41"/>
      <c r="BT491" s="41"/>
      <c r="BU491" s="41"/>
      <c r="BV491" s="41"/>
      <c r="BW491" s="41"/>
      <c r="BX491" s="41"/>
      <c r="BY491" s="41"/>
      <c r="BZ491" s="41"/>
      <c r="CA491" s="41"/>
      <c r="CB491" s="41"/>
      <c r="CC491" s="41"/>
      <c r="CD491" s="41"/>
      <c r="CE491" s="41"/>
      <c r="CF491" s="41"/>
      <c r="CG491" s="41"/>
      <c r="CH491" s="41"/>
      <c r="CI491" s="41"/>
      <c r="CJ491" s="41"/>
      <c r="CK491" s="41"/>
      <c r="CL491" s="41"/>
      <c r="CM491" s="41"/>
      <c r="CN491" s="41"/>
      <c r="CO491" s="41"/>
      <c r="CP491" s="41"/>
      <c r="CQ491" s="41"/>
      <c r="CR491" s="41"/>
      <c r="CS491" s="41"/>
      <c r="CT491" s="41"/>
      <c r="CU491" s="41"/>
      <c r="CV491" s="41"/>
      <c r="CW491" s="41"/>
      <c r="CX491" s="41"/>
      <c r="CY491" s="41"/>
      <c r="CZ491" s="41"/>
      <c r="DA491" s="41"/>
      <c r="DB491" s="41"/>
      <c r="DC491" s="41"/>
      <c r="DD491" s="41"/>
      <c r="DE491" s="41"/>
      <c r="DF491" s="41"/>
      <c r="DG491" s="41"/>
      <c r="DH491" s="41"/>
      <c r="DI491" s="41"/>
      <c r="DJ491" s="41"/>
      <c r="DK491" s="41"/>
      <c r="DL491" s="41"/>
      <c r="DM491" s="41"/>
      <c r="DN491" s="41"/>
      <c r="DO491" s="41"/>
      <c r="DP491" s="41"/>
      <c r="DQ491" s="41"/>
      <c r="DR491" s="41"/>
      <c r="DS491" s="41"/>
      <c r="DT491" s="41"/>
      <c r="DU491" s="41"/>
      <c r="DV491" s="41"/>
      <c r="DW491" s="41"/>
      <c r="DX491" s="41"/>
    </row>
    <row r="492" spans="1:128" s="75" customFormat="1" ht="19.5" hidden="1" customHeight="1" x14ac:dyDescent="0.25">
      <c r="A492" s="86" t="s">
        <v>914</v>
      </c>
      <c r="B492" s="87"/>
      <c r="C492" s="85" t="s">
        <v>13</v>
      </c>
      <c r="D492" s="85" t="s">
        <v>48</v>
      </c>
      <c r="E492" s="178">
        <v>135.24</v>
      </c>
      <c r="F492" s="178">
        <f t="shared" si="13"/>
        <v>3.3810000000000002</v>
      </c>
      <c r="G492" s="199">
        <f t="shared" si="12"/>
        <v>43140419.128250144</v>
      </c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  <c r="BJ492" s="41"/>
      <c r="BK492" s="41"/>
      <c r="BL492" s="41"/>
      <c r="BM492" s="41"/>
      <c r="BN492" s="41"/>
      <c r="BO492" s="41"/>
      <c r="BP492" s="41"/>
      <c r="BQ492" s="41"/>
      <c r="BR492" s="41"/>
      <c r="BS492" s="41"/>
      <c r="BT492" s="41"/>
      <c r="BU492" s="41"/>
      <c r="BV492" s="41"/>
      <c r="BW492" s="41"/>
      <c r="BX492" s="41"/>
      <c r="BY492" s="41"/>
      <c r="BZ492" s="41"/>
      <c r="CA492" s="41"/>
      <c r="CB492" s="41"/>
      <c r="CC492" s="41"/>
      <c r="CD492" s="41"/>
      <c r="CE492" s="41"/>
      <c r="CF492" s="41"/>
      <c r="CG492" s="41"/>
      <c r="CH492" s="41"/>
      <c r="CI492" s="41"/>
      <c r="CJ492" s="41"/>
      <c r="CK492" s="41"/>
      <c r="CL492" s="41"/>
      <c r="CM492" s="41"/>
      <c r="CN492" s="41"/>
      <c r="CO492" s="41"/>
      <c r="CP492" s="41"/>
      <c r="CQ492" s="41"/>
      <c r="CR492" s="41"/>
      <c r="CS492" s="41"/>
      <c r="CT492" s="41"/>
      <c r="CU492" s="41"/>
      <c r="CV492" s="41"/>
      <c r="CW492" s="41"/>
      <c r="CX492" s="41"/>
      <c r="CY492" s="41"/>
      <c r="CZ492" s="41"/>
      <c r="DA492" s="41"/>
      <c r="DB492" s="41"/>
      <c r="DC492" s="41"/>
      <c r="DD492" s="41"/>
      <c r="DE492" s="41"/>
      <c r="DF492" s="41"/>
      <c r="DG492" s="41"/>
      <c r="DH492" s="41"/>
      <c r="DI492" s="41"/>
      <c r="DJ492" s="41"/>
      <c r="DK492" s="41"/>
      <c r="DL492" s="41"/>
      <c r="DM492" s="41"/>
      <c r="DN492" s="41"/>
      <c r="DO492" s="41"/>
      <c r="DP492" s="41"/>
      <c r="DQ492" s="41"/>
      <c r="DR492" s="41"/>
      <c r="DS492" s="41"/>
      <c r="DT492" s="41"/>
      <c r="DU492" s="41"/>
      <c r="DV492" s="41"/>
      <c r="DW492" s="41"/>
      <c r="DX492" s="41"/>
    </row>
    <row r="493" spans="1:128" s="75" customFormat="1" ht="19.5" hidden="1" customHeight="1" x14ac:dyDescent="0.25">
      <c r="A493" s="86" t="s">
        <v>925</v>
      </c>
      <c r="B493" s="87"/>
      <c r="C493" s="85" t="s">
        <v>13</v>
      </c>
      <c r="D493" s="85" t="s">
        <v>22</v>
      </c>
      <c r="E493" s="178">
        <v>22190</v>
      </c>
      <c r="F493" s="178"/>
      <c r="G493" s="198">
        <f t="shared" si="12"/>
        <v>43162609.128250144</v>
      </c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41"/>
      <c r="BG493" s="41"/>
      <c r="BH493" s="41"/>
      <c r="BI493" s="41"/>
      <c r="BJ493" s="41"/>
      <c r="BK493" s="41"/>
      <c r="BL493" s="41"/>
      <c r="BM493" s="41"/>
      <c r="BN493" s="41"/>
      <c r="BO493" s="41"/>
      <c r="BP493" s="41"/>
      <c r="BQ493" s="41"/>
      <c r="BR493" s="41"/>
      <c r="BS493" s="41"/>
      <c r="BT493" s="41"/>
      <c r="BU493" s="41"/>
      <c r="BV493" s="41"/>
      <c r="BW493" s="41"/>
      <c r="BX493" s="41"/>
      <c r="BY493" s="41"/>
      <c r="BZ493" s="41"/>
      <c r="CA493" s="41"/>
      <c r="CB493" s="41"/>
      <c r="CC493" s="41"/>
      <c r="CD493" s="41"/>
      <c r="CE493" s="41"/>
      <c r="CF493" s="41"/>
      <c r="CG493" s="41"/>
      <c r="CH493" s="41"/>
      <c r="CI493" s="41"/>
      <c r="CJ493" s="41"/>
      <c r="CK493" s="41"/>
      <c r="CL493" s="41"/>
      <c r="CM493" s="41"/>
      <c r="CN493" s="41"/>
      <c r="CO493" s="41"/>
      <c r="CP493" s="41"/>
      <c r="CQ493" s="41"/>
      <c r="CR493" s="41"/>
      <c r="CS493" s="41"/>
      <c r="CT493" s="41"/>
      <c r="CU493" s="41"/>
      <c r="CV493" s="41"/>
      <c r="CW493" s="41"/>
      <c r="CX493" s="41"/>
      <c r="CY493" s="41"/>
      <c r="CZ493" s="41"/>
      <c r="DA493" s="41"/>
      <c r="DB493" s="41"/>
      <c r="DC493" s="41"/>
      <c r="DD493" s="41"/>
      <c r="DE493" s="41"/>
      <c r="DF493" s="41"/>
      <c r="DG493" s="41"/>
      <c r="DH493" s="41"/>
      <c r="DI493" s="41"/>
      <c r="DJ493" s="41"/>
      <c r="DK493" s="41"/>
      <c r="DL493" s="41"/>
      <c r="DM493" s="41"/>
      <c r="DN493" s="41"/>
      <c r="DO493" s="41"/>
      <c r="DP493" s="41"/>
      <c r="DQ493" s="41"/>
      <c r="DR493" s="41"/>
      <c r="DS493" s="41"/>
      <c r="DT493" s="41"/>
      <c r="DU493" s="41"/>
      <c r="DV493" s="41"/>
      <c r="DW493" s="41"/>
      <c r="DX493" s="41"/>
    </row>
    <row r="494" spans="1:128" s="75" customFormat="1" ht="19.5" hidden="1" customHeight="1" x14ac:dyDescent="0.25">
      <c r="A494" s="86" t="s">
        <v>925</v>
      </c>
      <c r="B494" s="87"/>
      <c r="C494" s="85" t="s">
        <v>13</v>
      </c>
      <c r="D494" s="85" t="s">
        <v>48</v>
      </c>
      <c r="E494" s="178">
        <v>103.5</v>
      </c>
      <c r="F494" s="178">
        <f t="shared" si="13"/>
        <v>2.5875000000000004</v>
      </c>
      <c r="G494" s="198">
        <f t="shared" si="12"/>
        <v>43162710.040750146</v>
      </c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41"/>
      <c r="BG494" s="41"/>
      <c r="BH494" s="41"/>
      <c r="BI494" s="41"/>
      <c r="BJ494" s="41"/>
      <c r="BK494" s="41"/>
      <c r="BL494" s="41"/>
      <c r="BM494" s="41"/>
      <c r="BN494" s="41"/>
      <c r="BO494" s="41"/>
      <c r="BP494" s="41"/>
      <c r="BQ494" s="41"/>
      <c r="BR494" s="41"/>
      <c r="BS494" s="41"/>
      <c r="BT494" s="41"/>
      <c r="BU494" s="41"/>
      <c r="BV494" s="41"/>
      <c r="BW494" s="41"/>
      <c r="BX494" s="41"/>
      <c r="BY494" s="41"/>
      <c r="BZ494" s="41"/>
      <c r="CA494" s="41"/>
      <c r="CB494" s="41"/>
      <c r="CC494" s="41"/>
      <c r="CD494" s="41"/>
      <c r="CE494" s="41"/>
      <c r="CF494" s="41"/>
      <c r="CG494" s="41"/>
      <c r="CH494" s="41"/>
      <c r="CI494" s="41"/>
      <c r="CJ494" s="41"/>
      <c r="CK494" s="41"/>
      <c r="CL494" s="41"/>
      <c r="CM494" s="41"/>
      <c r="CN494" s="41"/>
      <c r="CO494" s="41"/>
      <c r="CP494" s="41"/>
      <c r="CQ494" s="41"/>
      <c r="CR494" s="41"/>
      <c r="CS494" s="41"/>
      <c r="CT494" s="41"/>
      <c r="CU494" s="41"/>
      <c r="CV494" s="41"/>
      <c r="CW494" s="41"/>
      <c r="CX494" s="41"/>
      <c r="CY494" s="41"/>
      <c r="CZ494" s="41"/>
      <c r="DA494" s="41"/>
      <c r="DB494" s="41"/>
      <c r="DC494" s="41"/>
      <c r="DD494" s="41"/>
      <c r="DE494" s="41"/>
      <c r="DF494" s="41"/>
      <c r="DG494" s="41"/>
      <c r="DH494" s="41"/>
      <c r="DI494" s="41"/>
      <c r="DJ494" s="41"/>
      <c r="DK494" s="41"/>
      <c r="DL494" s="41"/>
      <c r="DM494" s="41"/>
      <c r="DN494" s="41"/>
      <c r="DO494" s="41"/>
      <c r="DP494" s="41"/>
      <c r="DQ494" s="41"/>
      <c r="DR494" s="41"/>
      <c r="DS494" s="41"/>
      <c r="DT494" s="41"/>
      <c r="DU494" s="41"/>
      <c r="DV494" s="41"/>
      <c r="DW494" s="41"/>
      <c r="DX494" s="41"/>
    </row>
    <row r="495" spans="1:128" s="75" customFormat="1" ht="19.5" hidden="1" customHeight="1" x14ac:dyDescent="0.25">
      <c r="A495" s="86" t="s">
        <v>925</v>
      </c>
      <c r="B495" s="87"/>
      <c r="C495" s="85" t="s">
        <v>13</v>
      </c>
      <c r="D495" s="85" t="s">
        <v>48</v>
      </c>
      <c r="E495" s="178">
        <v>1500</v>
      </c>
      <c r="F495" s="178">
        <f t="shared" si="13"/>
        <v>37.5</v>
      </c>
      <c r="G495" s="198">
        <f t="shared" si="12"/>
        <v>43164172.540750146</v>
      </c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  <c r="BJ495" s="41"/>
      <c r="BK495" s="41"/>
      <c r="BL495" s="41"/>
      <c r="BM495" s="41"/>
      <c r="BN495" s="41"/>
      <c r="BO495" s="41"/>
      <c r="BP495" s="41"/>
      <c r="BQ495" s="41"/>
      <c r="BR495" s="41"/>
      <c r="BS495" s="41"/>
      <c r="BT495" s="41"/>
      <c r="BU495" s="41"/>
      <c r="BV495" s="41"/>
      <c r="BW495" s="41"/>
      <c r="BX495" s="41"/>
      <c r="BY495" s="41"/>
      <c r="BZ495" s="41"/>
      <c r="CA495" s="41"/>
      <c r="CB495" s="41"/>
      <c r="CC495" s="41"/>
      <c r="CD495" s="41"/>
      <c r="CE495" s="41"/>
      <c r="CF495" s="41"/>
      <c r="CG495" s="41"/>
      <c r="CH495" s="41"/>
      <c r="CI495" s="41"/>
      <c r="CJ495" s="41"/>
      <c r="CK495" s="41"/>
      <c r="CL495" s="41"/>
      <c r="CM495" s="41"/>
      <c r="CN495" s="41"/>
      <c r="CO495" s="41"/>
      <c r="CP495" s="41"/>
      <c r="CQ495" s="41"/>
      <c r="CR495" s="41"/>
      <c r="CS495" s="41"/>
      <c r="CT495" s="41"/>
      <c r="CU495" s="41"/>
      <c r="CV495" s="41"/>
      <c r="CW495" s="41"/>
      <c r="CX495" s="41"/>
      <c r="CY495" s="41"/>
      <c r="CZ495" s="41"/>
      <c r="DA495" s="41"/>
      <c r="DB495" s="41"/>
      <c r="DC495" s="41"/>
      <c r="DD495" s="41"/>
      <c r="DE495" s="41"/>
      <c r="DF495" s="41"/>
      <c r="DG495" s="41"/>
      <c r="DH495" s="41"/>
      <c r="DI495" s="41"/>
      <c r="DJ495" s="41"/>
      <c r="DK495" s="41"/>
      <c r="DL495" s="41"/>
      <c r="DM495" s="41"/>
      <c r="DN495" s="41"/>
      <c r="DO495" s="41"/>
      <c r="DP495" s="41"/>
      <c r="DQ495" s="41"/>
      <c r="DR495" s="41"/>
      <c r="DS495" s="41"/>
      <c r="DT495" s="41"/>
      <c r="DU495" s="41"/>
      <c r="DV495" s="41"/>
      <c r="DW495" s="41"/>
      <c r="DX495" s="41"/>
    </row>
    <row r="496" spans="1:128" s="75" customFormat="1" ht="19.5" hidden="1" customHeight="1" x14ac:dyDescent="0.25">
      <c r="A496" s="86" t="s">
        <v>925</v>
      </c>
      <c r="B496" s="87"/>
      <c r="C496" s="85" t="s">
        <v>13</v>
      </c>
      <c r="D496" s="85" t="s">
        <v>48</v>
      </c>
      <c r="E496" s="178">
        <v>1137</v>
      </c>
      <c r="F496" s="178">
        <f t="shared" si="13"/>
        <v>28.425000000000001</v>
      </c>
      <c r="G496" s="198">
        <f t="shared" si="12"/>
        <v>43165281.115750149</v>
      </c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  <c r="BJ496" s="41"/>
      <c r="BK496" s="41"/>
      <c r="BL496" s="41"/>
      <c r="BM496" s="41"/>
      <c r="BN496" s="41"/>
      <c r="BO496" s="41"/>
      <c r="BP496" s="41"/>
      <c r="BQ496" s="41"/>
      <c r="BR496" s="41"/>
      <c r="BS496" s="41"/>
      <c r="BT496" s="41"/>
      <c r="BU496" s="41"/>
      <c r="BV496" s="41"/>
      <c r="BW496" s="41"/>
      <c r="BX496" s="41"/>
      <c r="BY496" s="41"/>
      <c r="BZ496" s="41"/>
      <c r="CA496" s="41"/>
      <c r="CB496" s="41"/>
      <c r="CC496" s="41"/>
      <c r="CD496" s="41"/>
      <c r="CE496" s="41"/>
      <c r="CF496" s="41"/>
      <c r="CG496" s="41"/>
      <c r="CH496" s="41"/>
      <c r="CI496" s="41"/>
      <c r="CJ496" s="41"/>
      <c r="CK496" s="41"/>
      <c r="CL496" s="41"/>
      <c r="CM496" s="41"/>
      <c r="CN496" s="41"/>
      <c r="CO496" s="41"/>
      <c r="CP496" s="41"/>
      <c r="CQ496" s="41"/>
      <c r="CR496" s="41"/>
      <c r="CS496" s="41"/>
      <c r="CT496" s="41"/>
      <c r="CU496" s="41"/>
      <c r="CV496" s="41"/>
      <c r="CW496" s="41"/>
      <c r="CX496" s="41"/>
      <c r="CY496" s="41"/>
      <c r="CZ496" s="41"/>
      <c r="DA496" s="41"/>
      <c r="DB496" s="41"/>
      <c r="DC496" s="41"/>
      <c r="DD496" s="41"/>
      <c r="DE496" s="41"/>
      <c r="DF496" s="41"/>
      <c r="DG496" s="41"/>
      <c r="DH496" s="41"/>
      <c r="DI496" s="41"/>
      <c r="DJ496" s="41"/>
      <c r="DK496" s="41"/>
      <c r="DL496" s="41"/>
      <c r="DM496" s="41"/>
      <c r="DN496" s="41"/>
      <c r="DO496" s="41"/>
      <c r="DP496" s="41"/>
      <c r="DQ496" s="41"/>
      <c r="DR496" s="41"/>
      <c r="DS496" s="41"/>
      <c r="DT496" s="41"/>
      <c r="DU496" s="41"/>
      <c r="DV496" s="41"/>
      <c r="DW496" s="41"/>
      <c r="DX496" s="41"/>
    </row>
    <row r="497" spans="1:128" s="75" customFormat="1" ht="19.5" hidden="1" customHeight="1" x14ac:dyDescent="0.25">
      <c r="A497" s="86" t="s">
        <v>925</v>
      </c>
      <c r="B497" s="87"/>
      <c r="C497" s="85" t="s">
        <v>13</v>
      </c>
      <c r="D497" s="85" t="s">
        <v>48</v>
      </c>
      <c r="E497" s="178">
        <v>200</v>
      </c>
      <c r="F497" s="178">
        <f t="shared" si="13"/>
        <v>5</v>
      </c>
      <c r="G497" s="198">
        <f t="shared" si="12"/>
        <v>43165476.115750149</v>
      </c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  <c r="BJ497" s="41"/>
      <c r="BK497" s="41"/>
      <c r="BL497" s="41"/>
      <c r="BM497" s="41"/>
      <c r="BN497" s="41"/>
      <c r="BO497" s="41"/>
      <c r="BP497" s="41"/>
      <c r="BQ497" s="41"/>
      <c r="BR497" s="41"/>
      <c r="BS497" s="41"/>
      <c r="BT497" s="41"/>
      <c r="BU497" s="41"/>
      <c r="BV497" s="41"/>
      <c r="BW497" s="41"/>
      <c r="BX497" s="41"/>
      <c r="BY497" s="41"/>
      <c r="BZ497" s="41"/>
      <c r="CA497" s="41"/>
      <c r="CB497" s="41"/>
      <c r="CC497" s="41"/>
      <c r="CD497" s="41"/>
      <c r="CE497" s="41"/>
      <c r="CF497" s="41"/>
      <c r="CG497" s="41"/>
      <c r="CH497" s="41"/>
      <c r="CI497" s="41"/>
      <c r="CJ497" s="41"/>
      <c r="CK497" s="41"/>
      <c r="CL497" s="41"/>
      <c r="CM497" s="41"/>
      <c r="CN497" s="41"/>
      <c r="CO497" s="41"/>
      <c r="CP497" s="41"/>
      <c r="CQ497" s="41"/>
      <c r="CR497" s="41"/>
      <c r="CS497" s="41"/>
      <c r="CT497" s="41"/>
      <c r="CU497" s="41"/>
      <c r="CV497" s="41"/>
      <c r="CW497" s="41"/>
      <c r="CX497" s="41"/>
      <c r="CY497" s="41"/>
      <c r="CZ497" s="41"/>
      <c r="DA497" s="41"/>
      <c r="DB497" s="41"/>
      <c r="DC497" s="41"/>
      <c r="DD497" s="41"/>
      <c r="DE497" s="41"/>
      <c r="DF497" s="41"/>
      <c r="DG497" s="41"/>
      <c r="DH497" s="41"/>
      <c r="DI497" s="41"/>
      <c r="DJ497" s="41"/>
      <c r="DK497" s="41"/>
      <c r="DL497" s="41"/>
      <c r="DM497" s="41"/>
      <c r="DN497" s="41"/>
      <c r="DO497" s="41"/>
      <c r="DP497" s="41"/>
      <c r="DQ497" s="41"/>
      <c r="DR497" s="41"/>
      <c r="DS497" s="41"/>
      <c r="DT497" s="41"/>
      <c r="DU497" s="41"/>
      <c r="DV497" s="41"/>
      <c r="DW497" s="41"/>
      <c r="DX497" s="41"/>
    </row>
    <row r="498" spans="1:128" s="75" customFormat="1" ht="19.5" hidden="1" customHeight="1" x14ac:dyDescent="0.25">
      <c r="A498" s="86" t="s">
        <v>925</v>
      </c>
      <c r="B498" s="87"/>
      <c r="C498" s="85" t="s">
        <v>13</v>
      </c>
      <c r="D498" s="85" t="s">
        <v>48</v>
      </c>
      <c r="E498" s="178">
        <v>1408.6</v>
      </c>
      <c r="F498" s="178">
        <f t="shared" si="13"/>
        <v>35.214999999999996</v>
      </c>
      <c r="G498" s="198">
        <f t="shared" si="12"/>
        <v>43166849.500750147</v>
      </c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  <c r="BJ498" s="41"/>
      <c r="BK498" s="41"/>
      <c r="BL498" s="41"/>
      <c r="BM498" s="41"/>
      <c r="BN498" s="41"/>
      <c r="BO498" s="41"/>
      <c r="BP498" s="41"/>
      <c r="BQ498" s="41"/>
      <c r="BR498" s="41"/>
      <c r="BS498" s="41"/>
      <c r="BT498" s="41"/>
      <c r="BU498" s="41"/>
      <c r="BV498" s="41"/>
      <c r="BW498" s="41"/>
      <c r="BX498" s="41"/>
      <c r="BY498" s="41"/>
      <c r="BZ498" s="41"/>
      <c r="CA498" s="41"/>
      <c r="CB498" s="41"/>
      <c r="CC498" s="41"/>
      <c r="CD498" s="41"/>
      <c r="CE498" s="41"/>
      <c r="CF498" s="41"/>
      <c r="CG498" s="41"/>
      <c r="CH498" s="41"/>
      <c r="CI498" s="41"/>
      <c r="CJ498" s="41"/>
      <c r="CK498" s="41"/>
      <c r="CL498" s="41"/>
      <c r="CM498" s="41"/>
      <c r="CN498" s="41"/>
      <c r="CO498" s="41"/>
      <c r="CP498" s="41"/>
      <c r="CQ498" s="41"/>
      <c r="CR498" s="41"/>
      <c r="CS498" s="41"/>
      <c r="CT498" s="41"/>
      <c r="CU498" s="41"/>
      <c r="CV498" s="41"/>
      <c r="CW498" s="41"/>
      <c r="CX498" s="41"/>
      <c r="CY498" s="41"/>
      <c r="CZ498" s="41"/>
      <c r="DA498" s="41"/>
      <c r="DB498" s="41"/>
      <c r="DC498" s="41"/>
      <c r="DD498" s="41"/>
      <c r="DE498" s="41"/>
      <c r="DF498" s="41"/>
      <c r="DG498" s="41"/>
      <c r="DH498" s="41"/>
      <c r="DI498" s="41"/>
      <c r="DJ498" s="41"/>
      <c r="DK498" s="41"/>
      <c r="DL498" s="41"/>
      <c r="DM498" s="41"/>
      <c r="DN498" s="41"/>
      <c r="DO498" s="41"/>
      <c r="DP498" s="41"/>
      <c r="DQ498" s="41"/>
      <c r="DR498" s="41"/>
      <c r="DS498" s="41"/>
      <c r="DT498" s="41"/>
      <c r="DU498" s="41"/>
      <c r="DV498" s="41"/>
      <c r="DW498" s="41"/>
      <c r="DX498" s="41"/>
    </row>
    <row r="499" spans="1:128" s="75" customFormat="1" ht="32.25" hidden="1" customHeight="1" x14ac:dyDescent="0.25">
      <c r="A499" s="86" t="s">
        <v>925</v>
      </c>
      <c r="B499" s="207" t="s">
        <v>915</v>
      </c>
      <c r="C499" s="85" t="s">
        <v>916</v>
      </c>
      <c r="D499" s="85" t="s">
        <v>917</v>
      </c>
      <c r="E499" s="178"/>
      <c r="F499" s="178">
        <v>238761.60000000001</v>
      </c>
      <c r="G499" s="198">
        <f t="shared" si="12"/>
        <v>42928087.900750145</v>
      </c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/>
      <c r="BJ499" s="41"/>
      <c r="BK499" s="41"/>
      <c r="BL499" s="41"/>
      <c r="BM499" s="41"/>
      <c r="BN499" s="41"/>
      <c r="BO499" s="41"/>
      <c r="BP499" s="41"/>
      <c r="BQ499" s="41"/>
      <c r="BR499" s="41"/>
      <c r="BS499" s="41"/>
      <c r="BT499" s="41"/>
      <c r="BU499" s="41"/>
      <c r="BV499" s="41"/>
      <c r="BW499" s="41"/>
      <c r="BX499" s="41"/>
      <c r="BY499" s="41"/>
      <c r="BZ499" s="41"/>
      <c r="CA499" s="41"/>
      <c r="CB499" s="41"/>
      <c r="CC499" s="41"/>
      <c r="CD499" s="41"/>
      <c r="CE499" s="41"/>
      <c r="CF499" s="41"/>
      <c r="CG499" s="41"/>
      <c r="CH499" s="41"/>
      <c r="CI499" s="41"/>
      <c r="CJ499" s="41"/>
      <c r="CK499" s="41"/>
      <c r="CL499" s="41"/>
      <c r="CM499" s="41"/>
      <c r="CN499" s="41"/>
      <c r="CO499" s="41"/>
      <c r="CP499" s="41"/>
      <c r="CQ499" s="41"/>
      <c r="CR499" s="41"/>
      <c r="CS499" s="41"/>
      <c r="CT499" s="41"/>
      <c r="CU499" s="41"/>
      <c r="CV499" s="41"/>
      <c r="CW499" s="41"/>
      <c r="CX499" s="41"/>
      <c r="CY499" s="41"/>
      <c r="CZ499" s="41"/>
      <c r="DA499" s="41"/>
      <c r="DB499" s="41"/>
      <c r="DC499" s="41"/>
      <c r="DD499" s="41"/>
      <c r="DE499" s="41"/>
      <c r="DF499" s="41"/>
      <c r="DG499" s="41"/>
      <c r="DH499" s="41"/>
      <c r="DI499" s="41"/>
      <c r="DJ499" s="41"/>
      <c r="DK499" s="41"/>
      <c r="DL499" s="41"/>
      <c r="DM499" s="41"/>
      <c r="DN499" s="41"/>
      <c r="DO499" s="41"/>
      <c r="DP499" s="41"/>
      <c r="DQ499" s="41"/>
      <c r="DR499" s="41"/>
      <c r="DS499" s="41"/>
      <c r="DT499" s="41"/>
      <c r="DU499" s="41"/>
      <c r="DV499" s="41"/>
      <c r="DW499" s="41"/>
      <c r="DX499" s="41"/>
    </row>
    <row r="500" spans="1:128" s="75" customFormat="1" ht="33.75" hidden="1" customHeight="1" x14ac:dyDescent="0.25">
      <c r="A500" s="86" t="s">
        <v>925</v>
      </c>
      <c r="B500" s="207" t="s">
        <v>920</v>
      </c>
      <c r="C500" s="85" t="s">
        <v>918</v>
      </c>
      <c r="D500" s="85" t="s">
        <v>919</v>
      </c>
      <c r="E500" s="178"/>
      <c r="F500" s="178">
        <v>84332.29</v>
      </c>
      <c r="G500" s="198">
        <f t="shared" si="12"/>
        <v>42843755.610750146</v>
      </c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  <c r="BI500" s="41"/>
      <c r="BJ500" s="41"/>
      <c r="BK500" s="41"/>
      <c r="BL500" s="41"/>
      <c r="BM500" s="41"/>
      <c r="BN500" s="41"/>
      <c r="BO500" s="41"/>
      <c r="BP500" s="41"/>
      <c r="BQ500" s="41"/>
      <c r="BR500" s="41"/>
      <c r="BS500" s="41"/>
      <c r="BT500" s="41"/>
      <c r="BU500" s="41"/>
      <c r="BV500" s="41"/>
      <c r="BW500" s="41"/>
      <c r="BX500" s="41"/>
      <c r="BY500" s="41"/>
      <c r="BZ500" s="41"/>
      <c r="CA500" s="41"/>
      <c r="CB500" s="41"/>
      <c r="CC500" s="41"/>
      <c r="CD500" s="41"/>
      <c r="CE500" s="41"/>
      <c r="CF500" s="41"/>
      <c r="CG500" s="41"/>
      <c r="CH500" s="41"/>
      <c r="CI500" s="41"/>
      <c r="CJ500" s="41"/>
      <c r="CK500" s="41"/>
      <c r="CL500" s="41"/>
      <c r="CM500" s="41"/>
      <c r="CN500" s="41"/>
      <c r="CO500" s="41"/>
      <c r="CP500" s="41"/>
      <c r="CQ500" s="41"/>
      <c r="CR500" s="41"/>
      <c r="CS500" s="41"/>
      <c r="CT500" s="41"/>
      <c r="CU500" s="41"/>
      <c r="CV500" s="41"/>
      <c r="CW500" s="41"/>
      <c r="CX500" s="41"/>
      <c r="CY500" s="41"/>
      <c r="CZ500" s="41"/>
      <c r="DA500" s="41"/>
      <c r="DB500" s="41"/>
      <c r="DC500" s="41"/>
      <c r="DD500" s="41"/>
      <c r="DE500" s="41"/>
      <c r="DF500" s="41"/>
      <c r="DG500" s="41"/>
      <c r="DH500" s="41"/>
      <c r="DI500" s="41"/>
      <c r="DJ500" s="41"/>
      <c r="DK500" s="41"/>
      <c r="DL500" s="41"/>
      <c r="DM500" s="41"/>
      <c r="DN500" s="41"/>
      <c r="DO500" s="41"/>
      <c r="DP500" s="41"/>
      <c r="DQ500" s="41"/>
      <c r="DR500" s="41"/>
      <c r="DS500" s="41"/>
      <c r="DT500" s="41"/>
      <c r="DU500" s="41"/>
      <c r="DV500" s="41"/>
      <c r="DW500" s="41"/>
      <c r="DX500" s="41"/>
    </row>
    <row r="501" spans="1:128" s="75" customFormat="1" ht="31.5" hidden="1" x14ac:dyDescent="0.25">
      <c r="A501" s="86" t="s">
        <v>925</v>
      </c>
      <c r="B501" s="207" t="s">
        <v>921</v>
      </c>
      <c r="C501" s="85" t="s">
        <v>922</v>
      </c>
      <c r="D501" s="85" t="s">
        <v>923</v>
      </c>
      <c r="E501" s="178"/>
      <c r="F501" s="178">
        <v>553700</v>
      </c>
      <c r="G501" s="199">
        <f t="shared" si="12"/>
        <v>42290055.610750146</v>
      </c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  <c r="BI501" s="41"/>
      <c r="BJ501" s="41"/>
      <c r="BK501" s="41"/>
      <c r="BL501" s="41"/>
      <c r="BM501" s="41"/>
      <c r="BN501" s="41"/>
      <c r="BO501" s="41"/>
      <c r="BP501" s="41"/>
      <c r="BQ501" s="41"/>
      <c r="BR501" s="41"/>
      <c r="BS501" s="41"/>
      <c r="BT501" s="41"/>
      <c r="BU501" s="41"/>
      <c r="BV501" s="41"/>
      <c r="BW501" s="41"/>
      <c r="BX501" s="41"/>
      <c r="BY501" s="41"/>
      <c r="BZ501" s="41"/>
      <c r="CA501" s="41"/>
      <c r="CB501" s="41"/>
      <c r="CC501" s="41"/>
      <c r="CD501" s="41"/>
      <c r="CE501" s="41"/>
      <c r="CF501" s="41"/>
      <c r="CG501" s="41"/>
      <c r="CH501" s="41"/>
      <c r="CI501" s="41"/>
      <c r="CJ501" s="41"/>
      <c r="CK501" s="41"/>
      <c r="CL501" s="41"/>
      <c r="CM501" s="41"/>
      <c r="CN501" s="41"/>
      <c r="CO501" s="41"/>
      <c r="CP501" s="41"/>
      <c r="CQ501" s="41"/>
      <c r="CR501" s="41"/>
      <c r="CS501" s="41"/>
      <c r="CT501" s="41"/>
      <c r="CU501" s="41"/>
      <c r="CV501" s="41"/>
      <c r="CW501" s="41"/>
      <c r="CX501" s="41"/>
      <c r="CY501" s="41"/>
      <c r="CZ501" s="41"/>
      <c r="DA501" s="41"/>
      <c r="DB501" s="41"/>
      <c r="DC501" s="41"/>
      <c r="DD501" s="41"/>
      <c r="DE501" s="41"/>
      <c r="DF501" s="41"/>
      <c r="DG501" s="41"/>
      <c r="DH501" s="41"/>
      <c r="DI501" s="41"/>
      <c r="DJ501" s="41"/>
      <c r="DK501" s="41"/>
      <c r="DL501" s="41"/>
      <c r="DM501" s="41"/>
      <c r="DN501" s="41"/>
      <c r="DO501" s="41"/>
      <c r="DP501" s="41"/>
      <c r="DQ501" s="41"/>
      <c r="DR501" s="41"/>
      <c r="DS501" s="41"/>
      <c r="DT501" s="41"/>
      <c r="DU501" s="41"/>
      <c r="DV501" s="41"/>
      <c r="DW501" s="41"/>
      <c r="DX501" s="41"/>
    </row>
    <row r="502" spans="1:128" s="75" customFormat="1" ht="28.5" hidden="1" customHeight="1" x14ac:dyDescent="0.25">
      <c r="A502" s="86" t="s">
        <v>924</v>
      </c>
      <c r="B502" s="87"/>
      <c r="C502" s="85" t="s">
        <v>13</v>
      </c>
      <c r="D502" s="85" t="s">
        <v>22</v>
      </c>
      <c r="E502" s="178">
        <v>27627</v>
      </c>
      <c r="F502" s="178"/>
      <c r="G502" s="198">
        <f t="shared" si="12"/>
        <v>42317682.610750146</v>
      </c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  <c r="BJ502" s="41"/>
      <c r="BK502" s="41"/>
      <c r="BL502" s="41"/>
      <c r="BM502" s="41"/>
      <c r="BN502" s="41"/>
      <c r="BO502" s="41"/>
      <c r="BP502" s="41"/>
      <c r="BQ502" s="41"/>
      <c r="BR502" s="41"/>
      <c r="BS502" s="41"/>
      <c r="BT502" s="41"/>
      <c r="BU502" s="41"/>
      <c r="BV502" s="41"/>
      <c r="BW502" s="41"/>
      <c r="BX502" s="41"/>
      <c r="BY502" s="41"/>
      <c r="BZ502" s="41"/>
      <c r="CA502" s="41"/>
      <c r="CB502" s="41"/>
      <c r="CC502" s="41"/>
      <c r="CD502" s="41"/>
      <c r="CE502" s="41"/>
      <c r="CF502" s="41"/>
      <c r="CG502" s="41"/>
      <c r="CH502" s="41"/>
      <c r="CI502" s="41"/>
      <c r="CJ502" s="41"/>
      <c r="CK502" s="41"/>
      <c r="CL502" s="41"/>
      <c r="CM502" s="41"/>
      <c r="CN502" s="41"/>
      <c r="CO502" s="41"/>
      <c r="CP502" s="41"/>
      <c r="CQ502" s="41"/>
      <c r="CR502" s="41"/>
      <c r="CS502" s="41"/>
      <c r="CT502" s="41"/>
      <c r="CU502" s="41"/>
      <c r="CV502" s="41"/>
      <c r="CW502" s="41"/>
      <c r="CX502" s="41"/>
      <c r="CY502" s="41"/>
      <c r="CZ502" s="41"/>
      <c r="DA502" s="41"/>
      <c r="DB502" s="41"/>
      <c r="DC502" s="41"/>
      <c r="DD502" s="41"/>
      <c r="DE502" s="41"/>
      <c r="DF502" s="41"/>
      <c r="DG502" s="41"/>
      <c r="DH502" s="41"/>
      <c r="DI502" s="41"/>
      <c r="DJ502" s="41"/>
      <c r="DK502" s="41"/>
      <c r="DL502" s="41"/>
      <c r="DM502" s="41"/>
      <c r="DN502" s="41"/>
      <c r="DO502" s="41"/>
      <c r="DP502" s="41"/>
      <c r="DQ502" s="41"/>
      <c r="DR502" s="41"/>
      <c r="DS502" s="41"/>
      <c r="DT502" s="41"/>
      <c r="DU502" s="41"/>
      <c r="DV502" s="41"/>
      <c r="DW502" s="41"/>
      <c r="DX502" s="41"/>
    </row>
    <row r="503" spans="1:128" s="75" customFormat="1" ht="28.5" hidden="1" customHeight="1" x14ac:dyDescent="0.25">
      <c r="A503" s="86" t="s">
        <v>924</v>
      </c>
      <c r="B503" s="87"/>
      <c r="C503" s="85" t="s">
        <v>13</v>
      </c>
      <c r="D503" s="85" t="s">
        <v>48</v>
      </c>
      <c r="E503" s="178">
        <v>1365.74</v>
      </c>
      <c r="F503" s="178">
        <f>E503*0.025</f>
        <v>34.143500000000003</v>
      </c>
      <c r="G503" s="198">
        <f t="shared" si="12"/>
        <v>42319014.207250148</v>
      </c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  <c r="BJ503" s="41"/>
      <c r="BK503" s="41"/>
      <c r="BL503" s="41"/>
      <c r="BM503" s="41"/>
      <c r="BN503" s="41"/>
      <c r="BO503" s="41"/>
      <c r="BP503" s="41"/>
      <c r="BQ503" s="41"/>
      <c r="BR503" s="41"/>
      <c r="BS503" s="41"/>
      <c r="BT503" s="41"/>
      <c r="BU503" s="41"/>
      <c r="BV503" s="41"/>
      <c r="BW503" s="41"/>
      <c r="BX503" s="41"/>
      <c r="BY503" s="41"/>
      <c r="BZ503" s="41"/>
      <c r="CA503" s="41"/>
      <c r="CB503" s="41"/>
      <c r="CC503" s="41"/>
      <c r="CD503" s="41"/>
      <c r="CE503" s="41"/>
      <c r="CF503" s="41"/>
      <c r="CG503" s="41"/>
      <c r="CH503" s="41"/>
      <c r="CI503" s="41"/>
      <c r="CJ503" s="41"/>
      <c r="CK503" s="41"/>
      <c r="CL503" s="41"/>
      <c r="CM503" s="41"/>
      <c r="CN503" s="41"/>
      <c r="CO503" s="41"/>
      <c r="CP503" s="41"/>
      <c r="CQ503" s="41"/>
      <c r="CR503" s="41"/>
      <c r="CS503" s="41"/>
      <c r="CT503" s="41"/>
      <c r="CU503" s="41"/>
      <c r="CV503" s="41"/>
      <c r="CW503" s="41"/>
      <c r="CX503" s="41"/>
      <c r="CY503" s="41"/>
      <c r="CZ503" s="41"/>
      <c r="DA503" s="41"/>
      <c r="DB503" s="41"/>
      <c r="DC503" s="41"/>
      <c r="DD503" s="41"/>
      <c r="DE503" s="41"/>
      <c r="DF503" s="41"/>
      <c r="DG503" s="41"/>
      <c r="DH503" s="41"/>
      <c r="DI503" s="41"/>
      <c r="DJ503" s="41"/>
      <c r="DK503" s="41"/>
      <c r="DL503" s="41"/>
      <c r="DM503" s="41"/>
      <c r="DN503" s="41"/>
      <c r="DO503" s="41"/>
      <c r="DP503" s="41"/>
      <c r="DQ503" s="41"/>
      <c r="DR503" s="41"/>
      <c r="DS503" s="41"/>
      <c r="DT503" s="41"/>
      <c r="DU503" s="41"/>
      <c r="DV503" s="41"/>
      <c r="DW503" s="41"/>
      <c r="DX503" s="41"/>
    </row>
    <row r="504" spans="1:128" s="75" customFormat="1" ht="28.5" hidden="1" customHeight="1" x14ac:dyDescent="0.25">
      <c r="A504" s="86" t="s">
        <v>924</v>
      </c>
      <c r="B504" s="87"/>
      <c r="C504" s="85" t="s">
        <v>12</v>
      </c>
      <c r="D504" s="85" t="s">
        <v>926</v>
      </c>
      <c r="E504" s="178">
        <v>24859847.390000001</v>
      </c>
      <c r="F504" s="178"/>
      <c r="G504" s="198">
        <f t="shared" si="12"/>
        <v>67178861.597250149</v>
      </c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  <c r="BJ504" s="41"/>
      <c r="BK504" s="41"/>
      <c r="BL504" s="41"/>
      <c r="BM504" s="41"/>
      <c r="BN504" s="41"/>
      <c r="BO504" s="41"/>
      <c r="BP504" s="41"/>
      <c r="BQ504" s="41"/>
      <c r="BR504" s="41"/>
      <c r="BS504" s="41"/>
      <c r="BT504" s="41"/>
      <c r="BU504" s="41"/>
      <c r="BV504" s="41"/>
      <c r="BW504" s="41"/>
      <c r="BX504" s="41"/>
      <c r="BY504" s="41"/>
      <c r="BZ504" s="41"/>
      <c r="CA504" s="41"/>
      <c r="CB504" s="41"/>
      <c r="CC504" s="41"/>
      <c r="CD504" s="41"/>
      <c r="CE504" s="41"/>
      <c r="CF504" s="41"/>
      <c r="CG504" s="41"/>
      <c r="CH504" s="41"/>
      <c r="CI504" s="41"/>
      <c r="CJ504" s="41"/>
      <c r="CK504" s="41"/>
      <c r="CL504" s="41"/>
      <c r="CM504" s="41"/>
      <c r="CN504" s="41"/>
      <c r="CO504" s="41"/>
      <c r="CP504" s="41"/>
      <c r="CQ504" s="41"/>
      <c r="CR504" s="41"/>
      <c r="CS504" s="41"/>
      <c r="CT504" s="41"/>
      <c r="CU504" s="41"/>
      <c r="CV504" s="41"/>
      <c r="CW504" s="41"/>
      <c r="CX504" s="41"/>
      <c r="CY504" s="41"/>
      <c r="CZ504" s="41"/>
      <c r="DA504" s="41"/>
      <c r="DB504" s="41"/>
      <c r="DC504" s="41"/>
      <c r="DD504" s="41"/>
      <c r="DE504" s="41"/>
      <c r="DF504" s="41"/>
      <c r="DG504" s="41"/>
      <c r="DH504" s="41"/>
      <c r="DI504" s="41"/>
      <c r="DJ504" s="41"/>
      <c r="DK504" s="41"/>
      <c r="DL504" s="41"/>
      <c r="DM504" s="41"/>
      <c r="DN504" s="41"/>
      <c r="DO504" s="41"/>
      <c r="DP504" s="41"/>
      <c r="DQ504" s="41"/>
      <c r="DR504" s="41"/>
      <c r="DS504" s="41"/>
      <c r="DT504" s="41"/>
      <c r="DU504" s="41"/>
      <c r="DV504" s="41"/>
      <c r="DW504" s="41"/>
      <c r="DX504" s="41"/>
    </row>
    <row r="505" spans="1:128" s="75" customFormat="1" ht="28.5" hidden="1" customHeight="1" x14ac:dyDescent="0.25">
      <c r="A505" s="86" t="s">
        <v>924</v>
      </c>
      <c r="B505" s="87"/>
      <c r="C505" s="85" t="s">
        <v>12</v>
      </c>
      <c r="D505" s="85" t="s">
        <v>23</v>
      </c>
      <c r="E505" s="178">
        <v>4214931.96</v>
      </c>
      <c r="F505" s="178"/>
      <c r="G505" s="198">
        <f t="shared" si="12"/>
        <v>71393793.557250142</v>
      </c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  <c r="BJ505" s="41"/>
      <c r="BK505" s="41"/>
      <c r="BL505" s="41"/>
      <c r="BM505" s="41"/>
      <c r="BN505" s="41"/>
      <c r="BO505" s="41"/>
      <c r="BP505" s="41"/>
      <c r="BQ505" s="41"/>
      <c r="BR505" s="41"/>
      <c r="BS505" s="41"/>
      <c r="BT505" s="41"/>
      <c r="BU505" s="41"/>
      <c r="BV505" s="41"/>
      <c r="BW505" s="41"/>
      <c r="BX505" s="41"/>
      <c r="BY505" s="41"/>
      <c r="BZ505" s="41"/>
      <c r="CA505" s="41"/>
      <c r="CB505" s="41"/>
      <c r="CC505" s="41"/>
      <c r="CD505" s="41"/>
      <c r="CE505" s="41"/>
      <c r="CF505" s="41"/>
      <c r="CG505" s="41"/>
      <c r="CH505" s="41"/>
      <c r="CI505" s="41"/>
      <c r="CJ505" s="41"/>
      <c r="CK505" s="41"/>
      <c r="CL505" s="41"/>
      <c r="CM505" s="41"/>
      <c r="CN505" s="41"/>
      <c r="CO505" s="41"/>
      <c r="CP505" s="41"/>
      <c r="CQ505" s="41"/>
      <c r="CR505" s="41"/>
      <c r="CS505" s="41"/>
      <c r="CT505" s="41"/>
      <c r="CU505" s="41"/>
      <c r="CV505" s="41"/>
      <c r="CW505" s="41"/>
      <c r="CX505" s="41"/>
      <c r="CY505" s="41"/>
      <c r="CZ505" s="41"/>
      <c r="DA505" s="41"/>
      <c r="DB505" s="41"/>
      <c r="DC505" s="41"/>
      <c r="DD505" s="41"/>
      <c r="DE505" s="41"/>
      <c r="DF505" s="41"/>
      <c r="DG505" s="41"/>
      <c r="DH505" s="41"/>
      <c r="DI505" s="41"/>
      <c r="DJ505" s="41"/>
      <c r="DK505" s="41"/>
      <c r="DL505" s="41"/>
      <c r="DM505" s="41"/>
      <c r="DN505" s="41"/>
      <c r="DO505" s="41"/>
      <c r="DP505" s="41"/>
      <c r="DQ505" s="41"/>
      <c r="DR505" s="41"/>
      <c r="DS505" s="41"/>
      <c r="DT505" s="41"/>
      <c r="DU505" s="41"/>
      <c r="DV505" s="41"/>
      <c r="DW505" s="41"/>
      <c r="DX505" s="41"/>
    </row>
    <row r="506" spans="1:128" s="75" customFormat="1" ht="28.5" hidden="1" customHeight="1" x14ac:dyDescent="0.25">
      <c r="A506" s="86" t="s">
        <v>924</v>
      </c>
      <c r="B506" s="87"/>
      <c r="C506" s="85" t="s">
        <v>12</v>
      </c>
      <c r="D506" s="85" t="s">
        <v>927</v>
      </c>
      <c r="E506" s="178">
        <v>861271.06</v>
      </c>
      <c r="F506" s="178"/>
      <c r="G506" s="198">
        <f t="shared" si="12"/>
        <v>72255064.617250144</v>
      </c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  <c r="BI506" s="41"/>
      <c r="BJ506" s="41"/>
      <c r="BK506" s="41"/>
      <c r="BL506" s="41"/>
      <c r="BM506" s="41"/>
      <c r="BN506" s="41"/>
      <c r="BO506" s="41"/>
      <c r="BP506" s="41"/>
      <c r="BQ506" s="41"/>
      <c r="BR506" s="41"/>
      <c r="BS506" s="41"/>
      <c r="BT506" s="41"/>
      <c r="BU506" s="41"/>
      <c r="BV506" s="41"/>
      <c r="BW506" s="41"/>
      <c r="BX506" s="41"/>
      <c r="BY506" s="41"/>
      <c r="BZ506" s="41"/>
      <c r="CA506" s="41"/>
      <c r="CB506" s="41"/>
      <c r="CC506" s="41"/>
      <c r="CD506" s="41"/>
      <c r="CE506" s="41"/>
      <c r="CF506" s="41"/>
      <c r="CG506" s="41"/>
      <c r="CH506" s="41"/>
      <c r="CI506" s="41"/>
      <c r="CJ506" s="41"/>
      <c r="CK506" s="41"/>
      <c r="CL506" s="41"/>
      <c r="CM506" s="41"/>
      <c r="CN506" s="41"/>
      <c r="CO506" s="41"/>
      <c r="CP506" s="41"/>
      <c r="CQ506" s="41"/>
      <c r="CR506" s="41"/>
      <c r="CS506" s="41"/>
      <c r="CT506" s="41"/>
      <c r="CU506" s="41"/>
      <c r="CV506" s="41"/>
      <c r="CW506" s="41"/>
      <c r="CX506" s="41"/>
      <c r="CY506" s="41"/>
      <c r="CZ506" s="41"/>
      <c r="DA506" s="41"/>
      <c r="DB506" s="41"/>
      <c r="DC506" s="41"/>
      <c r="DD506" s="41"/>
      <c r="DE506" s="41"/>
      <c r="DF506" s="41"/>
      <c r="DG506" s="41"/>
      <c r="DH506" s="41"/>
      <c r="DI506" s="41"/>
      <c r="DJ506" s="41"/>
      <c r="DK506" s="41"/>
      <c r="DL506" s="41"/>
      <c r="DM506" s="41"/>
      <c r="DN506" s="41"/>
      <c r="DO506" s="41"/>
      <c r="DP506" s="41"/>
      <c r="DQ506" s="41"/>
      <c r="DR506" s="41"/>
      <c r="DS506" s="41"/>
      <c r="DT506" s="41"/>
      <c r="DU506" s="41"/>
      <c r="DV506" s="41"/>
      <c r="DW506" s="41"/>
      <c r="DX506" s="41"/>
    </row>
    <row r="507" spans="1:128" s="75" customFormat="1" ht="28.5" hidden="1" customHeight="1" x14ac:dyDescent="0.25">
      <c r="A507" s="86" t="s">
        <v>924</v>
      </c>
      <c r="B507" s="87"/>
      <c r="C507" s="85" t="s">
        <v>12</v>
      </c>
      <c r="D507" s="85" t="s">
        <v>23</v>
      </c>
      <c r="E507" s="178">
        <v>488841.2</v>
      </c>
      <c r="F507" s="178"/>
      <c r="G507" s="198">
        <f t="shared" si="12"/>
        <v>72743905.817250147</v>
      </c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  <c r="BJ507" s="41"/>
      <c r="BK507" s="41"/>
      <c r="BL507" s="41"/>
      <c r="BM507" s="41"/>
      <c r="BN507" s="41"/>
      <c r="BO507" s="41"/>
      <c r="BP507" s="41"/>
      <c r="BQ507" s="41"/>
      <c r="BR507" s="41"/>
      <c r="BS507" s="41"/>
      <c r="BT507" s="41"/>
      <c r="BU507" s="41"/>
      <c r="BV507" s="41"/>
      <c r="BW507" s="41"/>
      <c r="BX507" s="41"/>
      <c r="BY507" s="41"/>
      <c r="BZ507" s="41"/>
      <c r="CA507" s="41"/>
      <c r="CB507" s="41"/>
      <c r="CC507" s="41"/>
      <c r="CD507" s="41"/>
      <c r="CE507" s="41"/>
      <c r="CF507" s="41"/>
      <c r="CG507" s="41"/>
      <c r="CH507" s="41"/>
      <c r="CI507" s="41"/>
      <c r="CJ507" s="41"/>
      <c r="CK507" s="41"/>
      <c r="CL507" s="41"/>
      <c r="CM507" s="41"/>
      <c r="CN507" s="41"/>
      <c r="CO507" s="41"/>
      <c r="CP507" s="41"/>
      <c r="CQ507" s="41"/>
      <c r="CR507" s="41"/>
      <c r="CS507" s="41"/>
      <c r="CT507" s="41"/>
      <c r="CU507" s="41"/>
      <c r="CV507" s="41"/>
      <c r="CW507" s="41"/>
      <c r="CX507" s="41"/>
      <c r="CY507" s="41"/>
      <c r="CZ507" s="41"/>
      <c r="DA507" s="41"/>
      <c r="DB507" s="41"/>
      <c r="DC507" s="41"/>
      <c r="DD507" s="41"/>
      <c r="DE507" s="41"/>
      <c r="DF507" s="41"/>
      <c r="DG507" s="41"/>
      <c r="DH507" s="41"/>
      <c r="DI507" s="41"/>
      <c r="DJ507" s="41"/>
      <c r="DK507" s="41"/>
      <c r="DL507" s="41"/>
      <c r="DM507" s="41"/>
      <c r="DN507" s="41"/>
      <c r="DO507" s="41"/>
      <c r="DP507" s="41"/>
      <c r="DQ507" s="41"/>
      <c r="DR507" s="41"/>
      <c r="DS507" s="41"/>
      <c r="DT507" s="41"/>
      <c r="DU507" s="41"/>
      <c r="DV507" s="41"/>
      <c r="DW507" s="41"/>
      <c r="DX507" s="41"/>
    </row>
    <row r="508" spans="1:128" s="75" customFormat="1" ht="28.5" hidden="1" customHeight="1" x14ac:dyDescent="0.25">
      <c r="A508" s="86" t="s">
        <v>924</v>
      </c>
      <c r="B508" s="87"/>
      <c r="C508" s="85" t="s">
        <v>12</v>
      </c>
      <c r="D508" s="85" t="s">
        <v>928</v>
      </c>
      <c r="E508" s="178">
        <v>218056.14</v>
      </c>
      <c r="F508" s="178"/>
      <c r="G508" s="198">
        <f t="shared" si="12"/>
        <v>72961961.957250148</v>
      </c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  <c r="BJ508" s="41"/>
      <c r="BK508" s="41"/>
      <c r="BL508" s="41"/>
      <c r="BM508" s="41"/>
      <c r="BN508" s="41"/>
      <c r="BO508" s="41"/>
      <c r="BP508" s="41"/>
      <c r="BQ508" s="41"/>
      <c r="BR508" s="41"/>
      <c r="BS508" s="41"/>
      <c r="BT508" s="41"/>
      <c r="BU508" s="41"/>
      <c r="BV508" s="41"/>
      <c r="BW508" s="41"/>
      <c r="BX508" s="41"/>
      <c r="BY508" s="41"/>
      <c r="BZ508" s="41"/>
      <c r="CA508" s="41"/>
      <c r="CB508" s="41"/>
      <c r="CC508" s="41"/>
      <c r="CD508" s="41"/>
      <c r="CE508" s="41"/>
      <c r="CF508" s="41"/>
      <c r="CG508" s="41"/>
      <c r="CH508" s="41"/>
      <c r="CI508" s="41"/>
      <c r="CJ508" s="41"/>
      <c r="CK508" s="41"/>
      <c r="CL508" s="41"/>
      <c r="CM508" s="41"/>
      <c r="CN508" s="41"/>
      <c r="CO508" s="41"/>
      <c r="CP508" s="41"/>
      <c r="CQ508" s="41"/>
      <c r="CR508" s="41"/>
      <c r="CS508" s="41"/>
      <c r="CT508" s="41"/>
      <c r="CU508" s="41"/>
      <c r="CV508" s="41"/>
      <c r="CW508" s="41"/>
      <c r="CX508" s="41"/>
      <c r="CY508" s="41"/>
      <c r="CZ508" s="41"/>
      <c r="DA508" s="41"/>
      <c r="DB508" s="41"/>
      <c r="DC508" s="41"/>
      <c r="DD508" s="41"/>
      <c r="DE508" s="41"/>
      <c r="DF508" s="41"/>
      <c r="DG508" s="41"/>
      <c r="DH508" s="41"/>
      <c r="DI508" s="41"/>
      <c r="DJ508" s="41"/>
      <c r="DK508" s="41"/>
      <c r="DL508" s="41"/>
      <c r="DM508" s="41"/>
      <c r="DN508" s="41"/>
      <c r="DO508" s="41"/>
      <c r="DP508" s="41"/>
      <c r="DQ508" s="41"/>
      <c r="DR508" s="41"/>
      <c r="DS508" s="41"/>
      <c r="DT508" s="41"/>
      <c r="DU508" s="41"/>
      <c r="DV508" s="41"/>
      <c r="DW508" s="41"/>
      <c r="DX508" s="41"/>
    </row>
    <row r="509" spans="1:128" s="75" customFormat="1" ht="28.5" hidden="1" customHeight="1" x14ac:dyDescent="0.25">
      <c r="A509" s="86" t="s">
        <v>924</v>
      </c>
      <c r="B509" s="87"/>
      <c r="C509" s="85" t="s">
        <v>12</v>
      </c>
      <c r="D509" s="85" t="s">
        <v>33</v>
      </c>
      <c r="E509" s="178">
        <v>215067.94</v>
      </c>
      <c r="F509" s="178"/>
      <c r="G509" s="198">
        <f t="shared" si="12"/>
        <v>73177029.897250146</v>
      </c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  <c r="BO509" s="41"/>
      <c r="BP509" s="41"/>
      <c r="BQ509" s="41"/>
      <c r="BR509" s="41"/>
      <c r="BS509" s="41"/>
      <c r="BT509" s="41"/>
      <c r="BU509" s="41"/>
      <c r="BV509" s="41"/>
      <c r="BW509" s="41"/>
      <c r="BX509" s="41"/>
      <c r="BY509" s="41"/>
      <c r="BZ509" s="41"/>
      <c r="CA509" s="41"/>
      <c r="CB509" s="41"/>
      <c r="CC509" s="41"/>
      <c r="CD509" s="41"/>
      <c r="CE509" s="41"/>
      <c r="CF509" s="41"/>
      <c r="CG509" s="41"/>
      <c r="CH509" s="41"/>
      <c r="CI509" s="41"/>
      <c r="CJ509" s="41"/>
      <c r="CK509" s="41"/>
      <c r="CL509" s="41"/>
      <c r="CM509" s="41"/>
      <c r="CN509" s="41"/>
      <c r="CO509" s="41"/>
      <c r="CP509" s="41"/>
      <c r="CQ509" s="41"/>
      <c r="CR509" s="41"/>
      <c r="CS509" s="41"/>
      <c r="CT509" s="41"/>
      <c r="CU509" s="41"/>
      <c r="CV509" s="41"/>
      <c r="CW509" s="41"/>
      <c r="CX509" s="41"/>
      <c r="CY509" s="41"/>
      <c r="CZ509" s="41"/>
      <c r="DA509" s="41"/>
      <c r="DB509" s="41"/>
      <c r="DC509" s="41"/>
      <c r="DD509" s="41"/>
      <c r="DE509" s="41"/>
      <c r="DF509" s="41"/>
      <c r="DG509" s="41"/>
      <c r="DH509" s="41"/>
      <c r="DI509" s="41"/>
      <c r="DJ509" s="41"/>
      <c r="DK509" s="41"/>
      <c r="DL509" s="41"/>
      <c r="DM509" s="41"/>
      <c r="DN509" s="41"/>
      <c r="DO509" s="41"/>
      <c r="DP509" s="41"/>
      <c r="DQ509" s="41"/>
      <c r="DR509" s="41"/>
      <c r="DS509" s="41"/>
      <c r="DT509" s="41"/>
      <c r="DU509" s="41"/>
      <c r="DV509" s="41"/>
      <c r="DW509" s="41"/>
      <c r="DX509" s="41"/>
    </row>
    <row r="510" spans="1:128" s="75" customFormat="1" ht="28.5" hidden="1" customHeight="1" x14ac:dyDescent="0.25">
      <c r="A510" s="86" t="s">
        <v>924</v>
      </c>
      <c r="B510" s="87"/>
      <c r="C510" s="85" t="s">
        <v>12</v>
      </c>
      <c r="D510" s="85" t="s">
        <v>927</v>
      </c>
      <c r="E510" s="178">
        <v>102026.8</v>
      </c>
      <c r="F510" s="178"/>
      <c r="G510" s="198">
        <f t="shared" si="12"/>
        <v>73279056.697250143</v>
      </c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  <c r="BJ510" s="41"/>
      <c r="BK510" s="41"/>
      <c r="BL510" s="41"/>
      <c r="BM510" s="41"/>
      <c r="BN510" s="41"/>
      <c r="BO510" s="41"/>
      <c r="BP510" s="41"/>
      <c r="BQ510" s="41"/>
      <c r="BR510" s="41"/>
      <c r="BS510" s="41"/>
      <c r="BT510" s="41"/>
      <c r="BU510" s="41"/>
      <c r="BV510" s="41"/>
      <c r="BW510" s="41"/>
      <c r="BX510" s="41"/>
      <c r="BY510" s="41"/>
      <c r="BZ510" s="41"/>
      <c r="CA510" s="41"/>
      <c r="CB510" s="41"/>
      <c r="CC510" s="41"/>
      <c r="CD510" s="41"/>
      <c r="CE510" s="41"/>
      <c r="CF510" s="41"/>
      <c r="CG510" s="41"/>
      <c r="CH510" s="41"/>
      <c r="CI510" s="41"/>
      <c r="CJ510" s="41"/>
      <c r="CK510" s="41"/>
      <c r="CL510" s="41"/>
      <c r="CM510" s="41"/>
      <c r="CN510" s="41"/>
      <c r="CO510" s="41"/>
      <c r="CP510" s="41"/>
      <c r="CQ510" s="41"/>
      <c r="CR510" s="41"/>
      <c r="CS510" s="41"/>
      <c r="CT510" s="41"/>
      <c r="CU510" s="41"/>
      <c r="CV510" s="41"/>
      <c r="CW510" s="41"/>
      <c r="CX510" s="41"/>
      <c r="CY510" s="41"/>
      <c r="CZ510" s="41"/>
      <c r="DA510" s="41"/>
      <c r="DB510" s="41"/>
      <c r="DC510" s="41"/>
      <c r="DD510" s="41"/>
      <c r="DE510" s="41"/>
      <c r="DF510" s="41"/>
      <c r="DG510" s="41"/>
      <c r="DH510" s="41"/>
      <c r="DI510" s="41"/>
      <c r="DJ510" s="41"/>
      <c r="DK510" s="41"/>
      <c r="DL510" s="41"/>
      <c r="DM510" s="41"/>
      <c r="DN510" s="41"/>
      <c r="DO510" s="41"/>
      <c r="DP510" s="41"/>
      <c r="DQ510" s="41"/>
      <c r="DR510" s="41"/>
      <c r="DS510" s="41"/>
      <c r="DT510" s="41"/>
      <c r="DU510" s="41"/>
      <c r="DV510" s="41"/>
      <c r="DW510" s="41"/>
      <c r="DX510" s="41"/>
    </row>
    <row r="511" spans="1:128" s="75" customFormat="1" ht="28.5" hidden="1" customHeight="1" x14ac:dyDescent="0.25">
      <c r="A511" s="86" t="s">
        <v>924</v>
      </c>
      <c r="B511" s="87"/>
      <c r="C511" s="85" t="s">
        <v>12</v>
      </c>
      <c r="D511" s="85" t="s">
        <v>24</v>
      </c>
      <c r="E511" s="178">
        <v>81382.22</v>
      </c>
      <c r="F511" s="178"/>
      <c r="G511" s="198">
        <f t="shared" si="12"/>
        <v>73360438.917250142</v>
      </c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  <c r="BJ511" s="41"/>
      <c r="BK511" s="41"/>
      <c r="BL511" s="41"/>
      <c r="BM511" s="41"/>
      <c r="BN511" s="41"/>
      <c r="BO511" s="41"/>
      <c r="BP511" s="41"/>
      <c r="BQ511" s="41"/>
      <c r="BR511" s="41"/>
      <c r="BS511" s="41"/>
      <c r="BT511" s="41"/>
      <c r="BU511" s="41"/>
      <c r="BV511" s="41"/>
      <c r="BW511" s="41"/>
      <c r="BX511" s="41"/>
      <c r="BY511" s="41"/>
      <c r="BZ511" s="41"/>
      <c r="CA511" s="41"/>
      <c r="CB511" s="41"/>
      <c r="CC511" s="41"/>
      <c r="CD511" s="41"/>
      <c r="CE511" s="41"/>
      <c r="CF511" s="41"/>
      <c r="CG511" s="41"/>
      <c r="CH511" s="41"/>
      <c r="CI511" s="41"/>
      <c r="CJ511" s="41"/>
      <c r="CK511" s="41"/>
      <c r="CL511" s="41"/>
      <c r="CM511" s="41"/>
      <c r="CN511" s="41"/>
      <c r="CO511" s="41"/>
      <c r="CP511" s="41"/>
      <c r="CQ511" s="41"/>
      <c r="CR511" s="41"/>
      <c r="CS511" s="41"/>
      <c r="CT511" s="41"/>
      <c r="CU511" s="41"/>
      <c r="CV511" s="41"/>
      <c r="CW511" s="41"/>
      <c r="CX511" s="41"/>
      <c r="CY511" s="41"/>
      <c r="CZ511" s="41"/>
      <c r="DA511" s="41"/>
      <c r="DB511" s="41"/>
      <c r="DC511" s="41"/>
      <c r="DD511" s="41"/>
      <c r="DE511" s="41"/>
      <c r="DF511" s="41"/>
      <c r="DG511" s="41"/>
      <c r="DH511" s="41"/>
      <c r="DI511" s="41"/>
      <c r="DJ511" s="41"/>
      <c r="DK511" s="41"/>
      <c r="DL511" s="41"/>
      <c r="DM511" s="41"/>
      <c r="DN511" s="41"/>
      <c r="DO511" s="41"/>
      <c r="DP511" s="41"/>
      <c r="DQ511" s="41"/>
      <c r="DR511" s="41"/>
      <c r="DS511" s="41"/>
      <c r="DT511" s="41"/>
      <c r="DU511" s="41"/>
      <c r="DV511" s="41"/>
      <c r="DW511" s="41"/>
      <c r="DX511" s="41"/>
    </row>
    <row r="512" spans="1:128" s="75" customFormat="1" ht="28.5" hidden="1" customHeight="1" x14ac:dyDescent="0.25">
      <c r="A512" s="86" t="s">
        <v>924</v>
      </c>
      <c r="B512" s="87"/>
      <c r="C512" s="85" t="s">
        <v>12</v>
      </c>
      <c r="D512" s="85" t="s">
        <v>90</v>
      </c>
      <c r="E512" s="178">
        <v>75488.179999999993</v>
      </c>
      <c r="F512" s="178"/>
      <c r="G512" s="198">
        <f t="shared" si="12"/>
        <v>73435927.097250149</v>
      </c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  <c r="BJ512" s="41"/>
      <c r="BK512" s="41"/>
      <c r="BL512" s="41"/>
      <c r="BM512" s="41"/>
      <c r="BN512" s="41"/>
      <c r="BO512" s="41"/>
      <c r="BP512" s="41"/>
      <c r="BQ512" s="41"/>
      <c r="BR512" s="41"/>
      <c r="BS512" s="41"/>
      <c r="BT512" s="41"/>
      <c r="BU512" s="41"/>
      <c r="BV512" s="41"/>
      <c r="BW512" s="41"/>
      <c r="BX512" s="41"/>
      <c r="BY512" s="41"/>
      <c r="BZ512" s="41"/>
      <c r="CA512" s="41"/>
      <c r="CB512" s="41"/>
      <c r="CC512" s="41"/>
      <c r="CD512" s="41"/>
      <c r="CE512" s="41"/>
      <c r="CF512" s="41"/>
      <c r="CG512" s="41"/>
      <c r="CH512" s="41"/>
      <c r="CI512" s="41"/>
      <c r="CJ512" s="41"/>
      <c r="CK512" s="41"/>
      <c r="CL512" s="41"/>
      <c r="CM512" s="41"/>
      <c r="CN512" s="41"/>
      <c r="CO512" s="41"/>
      <c r="CP512" s="41"/>
      <c r="CQ512" s="41"/>
      <c r="CR512" s="41"/>
      <c r="CS512" s="41"/>
      <c r="CT512" s="41"/>
      <c r="CU512" s="41"/>
      <c r="CV512" s="41"/>
      <c r="CW512" s="41"/>
      <c r="CX512" s="41"/>
      <c r="CY512" s="41"/>
      <c r="CZ512" s="41"/>
      <c r="DA512" s="41"/>
      <c r="DB512" s="41"/>
      <c r="DC512" s="41"/>
      <c r="DD512" s="41"/>
      <c r="DE512" s="41"/>
      <c r="DF512" s="41"/>
      <c r="DG512" s="41"/>
      <c r="DH512" s="41"/>
      <c r="DI512" s="41"/>
      <c r="DJ512" s="41"/>
      <c r="DK512" s="41"/>
      <c r="DL512" s="41"/>
      <c r="DM512" s="41"/>
      <c r="DN512" s="41"/>
      <c r="DO512" s="41"/>
      <c r="DP512" s="41"/>
      <c r="DQ512" s="41"/>
      <c r="DR512" s="41"/>
      <c r="DS512" s="41"/>
      <c r="DT512" s="41"/>
      <c r="DU512" s="41"/>
      <c r="DV512" s="41"/>
      <c r="DW512" s="41"/>
      <c r="DX512" s="41"/>
    </row>
    <row r="513" spans="1:128" s="75" customFormat="1" ht="28.5" hidden="1" customHeight="1" x14ac:dyDescent="0.25">
      <c r="A513" s="86" t="s">
        <v>924</v>
      </c>
      <c r="B513" s="87"/>
      <c r="C513" s="85" t="s">
        <v>12</v>
      </c>
      <c r="D513" s="85" t="s">
        <v>927</v>
      </c>
      <c r="E513" s="178">
        <v>69733.45</v>
      </c>
      <c r="F513" s="178"/>
      <c r="G513" s="198">
        <f t="shared" si="12"/>
        <v>73505660.547250152</v>
      </c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  <c r="BJ513" s="41"/>
      <c r="BK513" s="41"/>
      <c r="BL513" s="41"/>
      <c r="BM513" s="41"/>
      <c r="BN513" s="41"/>
      <c r="BO513" s="41"/>
      <c r="BP513" s="41"/>
      <c r="BQ513" s="41"/>
      <c r="BR513" s="41"/>
      <c r="BS513" s="41"/>
      <c r="BT513" s="41"/>
      <c r="BU513" s="41"/>
      <c r="BV513" s="41"/>
      <c r="BW513" s="41"/>
      <c r="BX513" s="41"/>
      <c r="BY513" s="41"/>
      <c r="BZ513" s="41"/>
      <c r="CA513" s="41"/>
      <c r="CB513" s="41"/>
      <c r="CC513" s="41"/>
      <c r="CD513" s="41"/>
      <c r="CE513" s="41"/>
      <c r="CF513" s="41"/>
      <c r="CG513" s="41"/>
      <c r="CH513" s="41"/>
      <c r="CI513" s="41"/>
      <c r="CJ513" s="41"/>
      <c r="CK513" s="41"/>
      <c r="CL513" s="41"/>
      <c r="CM513" s="41"/>
      <c r="CN513" s="41"/>
      <c r="CO513" s="41"/>
      <c r="CP513" s="41"/>
      <c r="CQ513" s="41"/>
      <c r="CR513" s="41"/>
      <c r="CS513" s="41"/>
      <c r="CT513" s="41"/>
      <c r="CU513" s="41"/>
      <c r="CV513" s="41"/>
      <c r="CW513" s="41"/>
      <c r="CX513" s="41"/>
      <c r="CY513" s="41"/>
      <c r="CZ513" s="41"/>
      <c r="DA513" s="41"/>
      <c r="DB513" s="41"/>
      <c r="DC513" s="41"/>
      <c r="DD513" s="41"/>
      <c r="DE513" s="41"/>
      <c r="DF513" s="41"/>
      <c r="DG513" s="41"/>
      <c r="DH513" s="41"/>
      <c r="DI513" s="41"/>
      <c r="DJ513" s="41"/>
      <c r="DK513" s="41"/>
      <c r="DL513" s="41"/>
      <c r="DM513" s="41"/>
      <c r="DN513" s="41"/>
      <c r="DO513" s="41"/>
      <c r="DP513" s="41"/>
      <c r="DQ513" s="41"/>
      <c r="DR513" s="41"/>
      <c r="DS513" s="41"/>
      <c r="DT513" s="41"/>
      <c r="DU513" s="41"/>
      <c r="DV513" s="41"/>
      <c r="DW513" s="41"/>
      <c r="DX513" s="41"/>
    </row>
    <row r="514" spans="1:128" s="75" customFormat="1" ht="28.5" hidden="1" customHeight="1" x14ac:dyDescent="0.25">
      <c r="A514" s="86" t="s">
        <v>924</v>
      </c>
      <c r="B514" s="87"/>
      <c r="C514" s="85" t="s">
        <v>12</v>
      </c>
      <c r="D514" s="85" t="s">
        <v>25</v>
      </c>
      <c r="E514" s="178">
        <v>31088.34</v>
      </c>
      <c r="F514" s="178"/>
      <c r="G514" s="198">
        <f t="shared" si="12"/>
        <v>73536748.887250155</v>
      </c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  <c r="BJ514" s="41"/>
      <c r="BK514" s="41"/>
      <c r="BL514" s="41"/>
      <c r="BM514" s="41"/>
      <c r="BN514" s="41"/>
      <c r="BO514" s="41"/>
      <c r="BP514" s="41"/>
      <c r="BQ514" s="41"/>
      <c r="BR514" s="41"/>
      <c r="BS514" s="41"/>
      <c r="BT514" s="41"/>
      <c r="BU514" s="41"/>
      <c r="BV514" s="41"/>
      <c r="BW514" s="41"/>
      <c r="BX514" s="41"/>
      <c r="BY514" s="41"/>
      <c r="BZ514" s="41"/>
      <c r="CA514" s="41"/>
      <c r="CB514" s="41"/>
      <c r="CC514" s="41"/>
      <c r="CD514" s="41"/>
      <c r="CE514" s="41"/>
      <c r="CF514" s="41"/>
      <c r="CG514" s="41"/>
      <c r="CH514" s="41"/>
      <c r="CI514" s="41"/>
      <c r="CJ514" s="41"/>
      <c r="CK514" s="41"/>
      <c r="CL514" s="41"/>
      <c r="CM514" s="41"/>
      <c r="CN514" s="41"/>
      <c r="CO514" s="41"/>
      <c r="CP514" s="41"/>
      <c r="CQ514" s="41"/>
      <c r="CR514" s="41"/>
      <c r="CS514" s="41"/>
      <c r="CT514" s="41"/>
      <c r="CU514" s="41"/>
      <c r="CV514" s="41"/>
      <c r="CW514" s="41"/>
      <c r="CX514" s="41"/>
      <c r="CY514" s="41"/>
      <c r="CZ514" s="41"/>
      <c r="DA514" s="41"/>
      <c r="DB514" s="41"/>
      <c r="DC514" s="41"/>
      <c r="DD514" s="41"/>
      <c r="DE514" s="41"/>
      <c r="DF514" s="41"/>
      <c r="DG514" s="41"/>
      <c r="DH514" s="41"/>
      <c r="DI514" s="41"/>
      <c r="DJ514" s="41"/>
      <c r="DK514" s="41"/>
      <c r="DL514" s="41"/>
      <c r="DM514" s="41"/>
      <c r="DN514" s="41"/>
      <c r="DO514" s="41"/>
      <c r="DP514" s="41"/>
      <c r="DQ514" s="41"/>
      <c r="DR514" s="41"/>
      <c r="DS514" s="41"/>
      <c r="DT514" s="41"/>
      <c r="DU514" s="41"/>
      <c r="DV514" s="41"/>
      <c r="DW514" s="41"/>
      <c r="DX514" s="41"/>
    </row>
    <row r="515" spans="1:128" s="75" customFormat="1" ht="28.5" hidden="1" customHeight="1" x14ac:dyDescent="0.25">
      <c r="A515" s="86" t="s">
        <v>924</v>
      </c>
      <c r="B515" s="87"/>
      <c r="C515" s="85" t="s">
        <v>12</v>
      </c>
      <c r="D515" s="85" t="s">
        <v>929</v>
      </c>
      <c r="E515" s="178">
        <v>16908.150000000001</v>
      </c>
      <c r="F515" s="178"/>
      <c r="G515" s="198">
        <f t="shared" si="12"/>
        <v>73553657.037250161</v>
      </c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  <c r="BJ515" s="41"/>
      <c r="BK515" s="41"/>
      <c r="BL515" s="41"/>
      <c r="BM515" s="41"/>
      <c r="BN515" s="41"/>
      <c r="BO515" s="41"/>
      <c r="BP515" s="41"/>
      <c r="BQ515" s="41"/>
      <c r="BR515" s="41"/>
      <c r="BS515" s="41"/>
      <c r="BT515" s="41"/>
      <c r="BU515" s="41"/>
      <c r="BV515" s="41"/>
      <c r="BW515" s="41"/>
      <c r="BX515" s="41"/>
      <c r="BY515" s="41"/>
      <c r="BZ515" s="41"/>
      <c r="CA515" s="41"/>
      <c r="CB515" s="41"/>
      <c r="CC515" s="41"/>
      <c r="CD515" s="41"/>
      <c r="CE515" s="41"/>
      <c r="CF515" s="41"/>
      <c r="CG515" s="41"/>
      <c r="CH515" s="41"/>
      <c r="CI515" s="41"/>
      <c r="CJ515" s="41"/>
      <c r="CK515" s="41"/>
      <c r="CL515" s="41"/>
      <c r="CM515" s="41"/>
      <c r="CN515" s="41"/>
      <c r="CO515" s="41"/>
      <c r="CP515" s="41"/>
      <c r="CQ515" s="41"/>
      <c r="CR515" s="41"/>
      <c r="CS515" s="41"/>
      <c r="CT515" s="41"/>
      <c r="CU515" s="41"/>
      <c r="CV515" s="41"/>
      <c r="CW515" s="41"/>
      <c r="CX515" s="41"/>
      <c r="CY515" s="41"/>
      <c r="CZ515" s="41"/>
      <c r="DA515" s="41"/>
      <c r="DB515" s="41"/>
      <c r="DC515" s="41"/>
      <c r="DD515" s="41"/>
      <c r="DE515" s="41"/>
      <c r="DF515" s="41"/>
      <c r="DG515" s="41"/>
      <c r="DH515" s="41"/>
      <c r="DI515" s="41"/>
      <c r="DJ515" s="41"/>
      <c r="DK515" s="41"/>
      <c r="DL515" s="41"/>
      <c r="DM515" s="41"/>
      <c r="DN515" s="41"/>
      <c r="DO515" s="41"/>
      <c r="DP515" s="41"/>
      <c r="DQ515" s="41"/>
      <c r="DR515" s="41"/>
      <c r="DS515" s="41"/>
      <c r="DT515" s="41"/>
      <c r="DU515" s="41"/>
      <c r="DV515" s="41"/>
      <c r="DW515" s="41"/>
      <c r="DX515" s="41"/>
    </row>
    <row r="516" spans="1:128" s="75" customFormat="1" ht="28.5" hidden="1" customHeight="1" x14ac:dyDescent="0.25">
      <c r="A516" s="86" t="s">
        <v>924</v>
      </c>
      <c r="B516" s="87"/>
      <c r="C516" s="85" t="s">
        <v>12</v>
      </c>
      <c r="D516" s="85" t="s">
        <v>23</v>
      </c>
      <c r="E516" s="178">
        <v>15400</v>
      </c>
      <c r="F516" s="178"/>
      <c r="G516" s="198">
        <f t="shared" si="12"/>
        <v>73569057.037250161</v>
      </c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  <c r="BJ516" s="41"/>
      <c r="BK516" s="41"/>
      <c r="BL516" s="41"/>
      <c r="BM516" s="41"/>
      <c r="BN516" s="41"/>
      <c r="BO516" s="41"/>
      <c r="BP516" s="41"/>
      <c r="BQ516" s="41"/>
      <c r="BR516" s="41"/>
      <c r="BS516" s="41"/>
      <c r="BT516" s="41"/>
      <c r="BU516" s="41"/>
      <c r="BV516" s="41"/>
      <c r="BW516" s="41"/>
      <c r="BX516" s="41"/>
      <c r="BY516" s="41"/>
      <c r="BZ516" s="41"/>
      <c r="CA516" s="41"/>
      <c r="CB516" s="41"/>
      <c r="CC516" s="41"/>
      <c r="CD516" s="41"/>
      <c r="CE516" s="41"/>
      <c r="CF516" s="41"/>
      <c r="CG516" s="41"/>
      <c r="CH516" s="41"/>
      <c r="CI516" s="41"/>
      <c r="CJ516" s="41"/>
      <c r="CK516" s="41"/>
      <c r="CL516" s="41"/>
      <c r="CM516" s="41"/>
      <c r="CN516" s="41"/>
      <c r="CO516" s="41"/>
      <c r="CP516" s="41"/>
      <c r="CQ516" s="41"/>
      <c r="CR516" s="41"/>
      <c r="CS516" s="41"/>
      <c r="CT516" s="41"/>
      <c r="CU516" s="41"/>
      <c r="CV516" s="41"/>
      <c r="CW516" s="41"/>
      <c r="CX516" s="41"/>
      <c r="CY516" s="41"/>
      <c r="CZ516" s="41"/>
      <c r="DA516" s="41"/>
      <c r="DB516" s="41"/>
      <c r="DC516" s="41"/>
      <c r="DD516" s="41"/>
      <c r="DE516" s="41"/>
      <c r="DF516" s="41"/>
      <c r="DG516" s="41"/>
      <c r="DH516" s="41"/>
      <c r="DI516" s="41"/>
      <c r="DJ516" s="41"/>
      <c r="DK516" s="41"/>
      <c r="DL516" s="41"/>
      <c r="DM516" s="41"/>
      <c r="DN516" s="41"/>
      <c r="DO516" s="41"/>
      <c r="DP516" s="41"/>
      <c r="DQ516" s="41"/>
      <c r="DR516" s="41"/>
      <c r="DS516" s="41"/>
      <c r="DT516" s="41"/>
      <c r="DU516" s="41"/>
      <c r="DV516" s="41"/>
      <c r="DW516" s="41"/>
      <c r="DX516" s="41"/>
    </row>
    <row r="517" spans="1:128" s="75" customFormat="1" ht="28.5" hidden="1" customHeight="1" x14ac:dyDescent="0.25">
      <c r="A517" s="86" t="s">
        <v>924</v>
      </c>
      <c r="B517" s="87"/>
      <c r="C517" s="85" t="s">
        <v>12</v>
      </c>
      <c r="D517" s="85" t="s">
        <v>927</v>
      </c>
      <c r="E517" s="178">
        <v>500</v>
      </c>
      <c r="F517" s="178"/>
      <c r="G517" s="199">
        <f t="shared" si="12"/>
        <v>73569557.037250161</v>
      </c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  <c r="BJ517" s="41"/>
      <c r="BK517" s="41"/>
      <c r="BL517" s="41"/>
      <c r="BM517" s="41"/>
      <c r="BN517" s="41"/>
      <c r="BO517" s="41"/>
      <c r="BP517" s="41"/>
      <c r="BQ517" s="41"/>
      <c r="BR517" s="41"/>
      <c r="BS517" s="41"/>
      <c r="BT517" s="41"/>
      <c r="BU517" s="41"/>
      <c r="BV517" s="41"/>
      <c r="BW517" s="41"/>
      <c r="BX517" s="41"/>
      <c r="BY517" s="41"/>
      <c r="BZ517" s="41"/>
      <c r="CA517" s="41"/>
      <c r="CB517" s="41"/>
      <c r="CC517" s="41"/>
      <c r="CD517" s="41"/>
      <c r="CE517" s="41"/>
      <c r="CF517" s="41"/>
      <c r="CG517" s="41"/>
      <c r="CH517" s="41"/>
      <c r="CI517" s="41"/>
      <c r="CJ517" s="41"/>
      <c r="CK517" s="41"/>
      <c r="CL517" s="41"/>
      <c r="CM517" s="41"/>
      <c r="CN517" s="41"/>
      <c r="CO517" s="41"/>
      <c r="CP517" s="41"/>
      <c r="CQ517" s="41"/>
      <c r="CR517" s="41"/>
      <c r="CS517" s="41"/>
      <c r="CT517" s="41"/>
      <c r="CU517" s="41"/>
      <c r="CV517" s="41"/>
      <c r="CW517" s="41"/>
      <c r="CX517" s="41"/>
      <c r="CY517" s="41"/>
      <c r="CZ517" s="41"/>
      <c r="DA517" s="41"/>
      <c r="DB517" s="41"/>
      <c r="DC517" s="41"/>
      <c r="DD517" s="41"/>
      <c r="DE517" s="41"/>
      <c r="DF517" s="41"/>
      <c r="DG517" s="41"/>
      <c r="DH517" s="41"/>
      <c r="DI517" s="41"/>
      <c r="DJ517" s="41"/>
      <c r="DK517" s="41"/>
      <c r="DL517" s="41"/>
      <c r="DM517" s="41"/>
      <c r="DN517" s="41"/>
      <c r="DO517" s="41"/>
      <c r="DP517" s="41"/>
      <c r="DQ517" s="41"/>
      <c r="DR517" s="41"/>
      <c r="DS517" s="41"/>
      <c r="DT517" s="41"/>
      <c r="DU517" s="41"/>
      <c r="DV517" s="41"/>
      <c r="DW517" s="41"/>
      <c r="DX517" s="41"/>
    </row>
    <row r="518" spans="1:128" s="75" customFormat="1" ht="31.5" hidden="1" x14ac:dyDescent="0.25">
      <c r="A518" s="86" t="s">
        <v>934</v>
      </c>
      <c r="B518" s="207" t="s">
        <v>938</v>
      </c>
      <c r="C518" s="85" t="s">
        <v>709</v>
      </c>
      <c r="D518" s="85" t="s">
        <v>935</v>
      </c>
      <c r="E518" s="178"/>
      <c r="F518" s="178">
        <v>231263.63</v>
      </c>
      <c r="G518" s="198">
        <f t="shared" si="12"/>
        <v>73338293.407250166</v>
      </c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  <c r="BJ518" s="41"/>
      <c r="BK518" s="41"/>
      <c r="BL518" s="41"/>
      <c r="BM518" s="41"/>
      <c r="BN518" s="41"/>
      <c r="BO518" s="41"/>
      <c r="BP518" s="41"/>
      <c r="BQ518" s="41"/>
      <c r="BR518" s="41"/>
      <c r="BS518" s="41"/>
      <c r="BT518" s="41"/>
      <c r="BU518" s="41"/>
      <c r="BV518" s="41"/>
      <c r="BW518" s="41"/>
      <c r="BX518" s="41"/>
      <c r="BY518" s="41"/>
      <c r="BZ518" s="41"/>
      <c r="CA518" s="41"/>
      <c r="CB518" s="41"/>
      <c r="CC518" s="41"/>
      <c r="CD518" s="41"/>
      <c r="CE518" s="41"/>
      <c r="CF518" s="41"/>
      <c r="CG518" s="41"/>
      <c r="CH518" s="41"/>
      <c r="CI518" s="41"/>
      <c r="CJ518" s="41"/>
      <c r="CK518" s="41"/>
      <c r="CL518" s="41"/>
      <c r="CM518" s="41"/>
      <c r="CN518" s="41"/>
      <c r="CO518" s="41"/>
      <c r="CP518" s="41"/>
      <c r="CQ518" s="41"/>
      <c r="CR518" s="41"/>
      <c r="CS518" s="41"/>
      <c r="CT518" s="41"/>
      <c r="CU518" s="41"/>
      <c r="CV518" s="41"/>
      <c r="CW518" s="41"/>
      <c r="CX518" s="41"/>
      <c r="CY518" s="41"/>
      <c r="CZ518" s="41"/>
      <c r="DA518" s="41"/>
      <c r="DB518" s="41"/>
      <c r="DC518" s="41"/>
      <c r="DD518" s="41"/>
      <c r="DE518" s="41"/>
      <c r="DF518" s="41"/>
      <c r="DG518" s="41"/>
      <c r="DH518" s="41"/>
      <c r="DI518" s="41"/>
      <c r="DJ518" s="41"/>
      <c r="DK518" s="41"/>
      <c r="DL518" s="41"/>
      <c r="DM518" s="41"/>
      <c r="DN518" s="41"/>
      <c r="DO518" s="41"/>
      <c r="DP518" s="41"/>
      <c r="DQ518" s="41"/>
      <c r="DR518" s="41"/>
      <c r="DS518" s="41"/>
      <c r="DT518" s="41"/>
      <c r="DU518" s="41"/>
      <c r="DV518" s="41"/>
      <c r="DW518" s="41"/>
      <c r="DX518" s="41"/>
    </row>
    <row r="519" spans="1:128" s="75" customFormat="1" ht="31.5" hidden="1" x14ac:dyDescent="0.25">
      <c r="A519" s="86" t="s">
        <v>941</v>
      </c>
      <c r="B519" s="207" t="s">
        <v>942</v>
      </c>
      <c r="C519" s="85" t="s">
        <v>943</v>
      </c>
      <c r="D519" s="85" t="s">
        <v>944</v>
      </c>
      <c r="E519" s="178"/>
      <c r="F519" s="178">
        <v>266479.32</v>
      </c>
      <c r="G519" s="198">
        <f t="shared" si="12"/>
        <v>73071814.087250173</v>
      </c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  <c r="BJ519" s="41"/>
      <c r="BK519" s="41"/>
      <c r="BL519" s="41"/>
      <c r="BM519" s="41"/>
      <c r="BN519" s="41"/>
      <c r="BO519" s="41"/>
      <c r="BP519" s="41"/>
      <c r="BQ519" s="41"/>
      <c r="BR519" s="41"/>
      <c r="BS519" s="41"/>
      <c r="BT519" s="41"/>
      <c r="BU519" s="41"/>
      <c r="BV519" s="41"/>
      <c r="BW519" s="41"/>
      <c r="BX519" s="41"/>
      <c r="BY519" s="41"/>
      <c r="BZ519" s="41"/>
      <c r="CA519" s="41"/>
      <c r="CB519" s="41"/>
      <c r="CC519" s="41"/>
      <c r="CD519" s="41"/>
      <c r="CE519" s="41"/>
      <c r="CF519" s="41"/>
      <c r="CG519" s="41"/>
      <c r="CH519" s="41"/>
      <c r="CI519" s="41"/>
      <c r="CJ519" s="41"/>
      <c r="CK519" s="41"/>
      <c r="CL519" s="41"/>
      <c r="CM519" s="41"/>
      <c r="CN519" s="41"/>
      <c r="CO519" s="41"/>
      <c r="CP519" s="41"/>
      <c r="CQ519" s="41"/>
      <c r="CR519" s="41"/>
      <c r="CS519" s="41"/>
      <c r="CT519" s="41"/>
      <c r="CU519" s="41"/>
      <c r="CV519" s="41"/>
      <c r="CW519" s="41"/>
      <c r="CX519" s="41"/>
      <c r="CY519" s="41"/>
      <c r="CZ519" s="41"/>
      <c r="DA519" s="41"/>
      <c r="DB519" s="41"/>
      <c r="DC519" s="41"/>
      <c r="DD519" s="41"/>
      <c r="DE519" s="41"/>
      <c r="DF519" s="41"/>
      <c r="DG519" s="41"/>
      <c r="DH519" s="41"/>
      <c r="DI519" s="41"/>
      <c r="DJ519" s="41"/>
      <c r="DK519" s="41"/>
      <c r="DL519" s="41"/>
      <c r="DM519" s="41"/>
      <c r="DN519" s="41"/>
      <c r="DO519" s="41"/>
      <c r="DP519" s="41"/>
      <c r="DQ519" s="41"/>
      <c r="DR519" s="41"/>
      <c r="DS519" s="41"/>
      <c r="DT519" s="41"/>
      <c r="DU519" s="41"/>
      <c r="DV519" s="41"/>
      <c r="DW519" s="41"/>
      <c r="DX519" s="41"/>
    </row>
    <row r="520" spans="1:128" s="75" customFormat="1" ht="31.5" hidden="1" x14ac:dyDescent="0.25">
      <c r="A520" s="86" t="s">
        <v>941</v>
      </c>
      <c r="B520" s="207" t="s">
        <v>945</v>
      </c>
      <c r="C520" s="85" t="s">
        <v>946</v>
      </c>
      <c r="D520" s="85" t="s">
        <v>947</v>
      </c>
      <c r="E520" s="178"/>
      <c r="F520" s="178">
        <v>929196.74</v>
      </c>
      <c r="G520" s="198">
        <f t="shared" si="12"/>
        <v>72142617.347250178</v>
      </c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  <c r="BJ520" s="41"/>
      <c r="BK520" s="41"/>
      <c r="BL520" s="41"/>
      <c r="BM520" s="41"/>
      <c r="BN520" s="41"/>
      <c r="BO520" s="41"/>
      <c r="BP520" s="41"/>
      <c r="BQ520" s="41"/>
      <c r="BR520" s="41"/>
      <c r="BS520" s="41"/>
      <c r="BT520" s="41"/>
      <c r="BU520" s="41"/>
      <c r="BV520" s="41"/>
      <c r="BW520" s="41"/>
      <c r="BX520" s="41"/>
      <c r="BY520" s="41"/>
      <c r="BZ520" s="41"/>
      <c r="CA520" s="41"/>
      <c r="CB520" s="41"/>
      <c r="CC520" s="41"/>
      <c r="CD520" s="41"/>
      <c r="CE520" s="41"/>
      <c r="CF520" s="41"/>
      <c r="CG520" s="41"/>
      <c r="CH520" s="41"/>
      <c r="CI520" s="41"/>
      <c r="CJ520" s="41"/>
      <c r="CK520" s="41"/>
      <c r="CL520" s="41"/>
      <c r="CM520" s="41"/>
      <c r="CN520" s="41"/>
      <c r="CO520" s="41"/>
      <c r="CP520" s="41"/>
      <c r="CQ520" s="41"/>
      <c r="CR520" s="41"/>
      <c r="CS520" s="41"/>
      <c r="CT520" s="41"/>
      <c r="CU520" s="41"/>
      <c r="CV520" s="41"/>
      <c r="CW520" s="41"/>
      <c r="CX520" s="41"/>
      <c r="CY520" s="41"/>
      <c r="CZ520" s="41"/>
      <c r="DA520" s="41"/>
      <c r="DB520" s="41"/>
      <c r="DC520" s="41"/>
      <c r="DD520" s="41"/>
      <c r="DE520" s="41"/>
      <c r="DF520" s="41"/>
      <c r="DG520" s="41"/>
      <c r="DH520" s="41"/>
      <c r="DI520" s="41"/>
      <c r="DJ520" s="41"/>
      <c r="DK520" s="41"/>
      <c r="DL520" s="41"/>
      <c r="DM520" s="41"/>
      <c r="DN520" s="41"/>
      <c r="DO520" s="41"/>
      <c r="DP520" s="41"/>
      <c r="DQ520" s="41"/>
      <c r="DR520" s="41"/>
      <c r="DS520" s="41"/>
      <c r="DT520" s="41"/>
      <c r="DU520" s="41"/>
      <c r="DV520" s="41"/>
      <c r="DW520" s="41"/>
      <c r="DX520" s="41"/>
    </row>
    <row r="521" spans="1:128" s="75" customFormat="1" ht="31.5" hidden="1" x14ac:dyDescent="0.25">
      <c r="A521" s="86" t="s">
        <v>934</v>
      </c>
      <c r="B521" s="207" t="s">
        <v>948</v>
      </c>
      <c r="C521" s="85" t="s">
        <v>950</v>
      </c>
      <c r="D521" s="85" t="s">
        <v>951</v>
      </c>
      <c r="E521" s="178"/>
      <c r="F521" s="178">
        <v>406505</v>
      </c>
      <c r="G521" s="198">
        <f t="shared" ref="G521:G541" si="14">G520+E521-F521</f>
        <v>71736112.347250178</v>
      </c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  <c r="BJ521" s="41"/>
      <c r="BK521" s="41"/>
      <c r="BL521" s="41"/>
      <c r="BM521" s="41"/>
      <c r="BN521" s="41"/>
      <c r="BO521" s="41"/>
      <c r="BP521" s="41"/>
      <c r="BQ521" s="41"/>
      <c r="BR521" s="41"/>
      <c r="BS521" s="41"/>
      <c r="BT521" s="41"/>
      <c r="BU521" s="41"/>
      <c r="BV521" s="41"/>
      <c r="BW521" s="41"/>
      <c r="BX521" s="41"/>
      <c r="BY521" s="41"/>
      <c r="BZ521" s="41"/>
      <c r="CA521" s="41"/>
      <c r="CB521" s="41"/>
      <c r="CC521" s="41"/>
      <c r="CD521" s="41"/>
      <c r="CE521" s="41"/>
      <c r="CF521" s="41"/>
      <c r="CG521" s="41"/>
      <c r="CH521" s="41"/>
      <c r="CI521" s="41"/>
      <c r="CJ521" s="41"/>
      <c r="CK521" s="41"/>
      <c r="CL521" s="41"/>
      <c r="CM521" s="41"/>
      <c r="CN521" s="41"/>
      <c r="CO521" s="41"/>
      <c r="CP521" s="41"/>
      <c r="CQ521" s="41"/>
      <c r="CR521" s="41"/>
      <c r="CS521" s="41"/>
      <c r="CT521" s="41"/>
      <c r="CU521" s="41"/>
      <c r="CV521" s="41"/>
      <c r="CW521" s="41"/>
      <c r="CX521" s="41"/>
      <c r="CY521" s="41"/>
      <c r="CZ521" s="41"/>
      <c r="DA521" s="41"/>
      <c r="DB521" s="41"/>
      <c r="DC521" s="41"/>
      <c r="DD521" s="41"/>
      <c r="DE521" s="41"/>
      <c r="DF521" s="41"/>
      <c r="DG521" s="41"/>
      <c r="DH521" s="41"/>
      <c r="DI521" s="41"/>
      <c r="DJ521" s="41"/>
      <c r="DK521" s="41"/>
      <c r="DL521" s="41"/>
      <c r="DM521" s="41"/>
      <c r="DN521" s="41"/>
      <c r="DO521" s="41"/>
      <c r="DP521" s="41"/>
      <c r="DQ521" s="41"/>
      <c r="DR521" s="41"/>
      <c r="DS521" s="41"/>
      <c r="DT521" s="41"/>
      <c r="DU521" s="41"/>
      <c r="DV521" s="41"/>
      <c r="DW521" s="41"/>
      <c r="DX521" s="41"/>
    </row>
    <row r="522" spans="1:128" s="75" customFormat="1" ht="31.5" hidden="1" x14ac:dyDescent="0.25">
      <c r="A522" s="86" t="s">
        <v>941</v>
      </c>
      <c r="B522" s="207" t="s">
        <v>953</v>
      </c>
      <c r="C522" s="85" t="s">
        <v>954</v>
      </c>
      <c r="D522" s="85" t="s">
        <v>955</v>
      </c>
      <c r="E522" s="178"/>
      <c r="F522" s="178">
        <v>441650.22</v>
      </c>
      <c r="G522" s="198">
        <f t="shared" si="14"/>
        <v>71294462.12725018</v>
      </c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  <c r="BJ522" s="41"/>
      <c r="BK522" s="41"/>
      <c r="BL522" s="41"/>
      <c r="BM522" s="41"/>
      <c r="BN522" s="41"/>
      <c r="BO522" s="41"/>
      <c r="BP522" s="41"/>
      <c r="BQ522" s="41"/>
      <c r="BR522" s="41"/>
      <c r="BS522" s="41"/>
      <c r="BT522" s="41"/>
      <c r="BU522" s="41"/>
      <c r="BV522" s="41"/>
      <c r="BW522" s="41"/>
      <c r="BX522" s="41"/>
      <c r="BY522" s="41"/>
      <c r="BZ522" s="41"/>
      <c r="CA522" s="41"/>
      <c r="CB522" s="41"/>
      <c r="CC522" s="41"/>
      <c r="CD522" s="41"/>
      <c r="CE522" s="41"/>
      <c r="CF522" s="41"/>
      <c r="CG522" s="41"/>
      <c r="CH522" s="41"/>
      <c r="CI522" s="41"/>
      <c r="CJ522" s="41"/>
      <c r="CK522" s="41"/>
      <c r="CL522" s="41"/>
      <c r="CM522" s="41"/>
      <c r="CN522" s="41"/>
      <c r="CO522" s="41"/>
      <c r="CP522" s="41"/>
      <c r="CQ522" s="41"/>
      <c r="CR522" s="41"/>
      <c r="CS522" s="41"/>
      <c r="CT522" s="41"/>
      <c r="CU522" s="41"/>
      <c r="CV522" s="41"/>
      <c r="CW522" s="41"/>
      <c r="CX522" s="41"/>
      <c r="CY522" s="41"/>
      <c r="CZ522" s="41"/>
      <c r="DA522" s="41"/>
      <c r="DB522" s="41"/>
      <c r="DC522" s="41"/>
      <c r="DD522" s="41"/>
      <c r="DE522" s="41"/>
      <c r="DF522" s="41"/>
      <c r="DG522" s="41"/>
      <c r="DH522" s="41"/>
      <c r="DI522" s="41"/>
      <c r="DJ522" s="41"/>
      <c r="DK522" s="41"/>
      <c r="DL522" s="41"/>
      <c r="DM522" s="41"/>
      <c r="DN522" s="41"/>
      <c r="DO522" s="41"/>
      <c r="DP522" s="41"/>
      <c r="DQ522" s="41"/>
      <c r="DR522" s="41"/>
      <c r="DS522" s="41"/>
      <c r="DT522" s="41"/>
      <c r="DU522" s="41"/>
      <c r="DV522" s="41"/>
      <c r="DW522" s="41"/>
      <c r="DX522" s="41"/>
    </row>
    <row r="523" spans="1:128" s="75" customFormat="1" ht="28.5" hidden="1" customHeight="1" x14ac:dyDescent="0.25">
      <c r="A523" s="86" t="s">
        <v>941</v>
      </c>
      <c r="B523" s="87"/>
      <c r="C523" s="85" t="s">
        <v>13</v>
      </c>
      <c r="D523" s="85" t="s">
        <v>22</v>
      </c>
      <c r="E523" s="178">
        <v>25807</v>
      </c>
      <c r="F523" s="178"/>
      <c r="G523" s="198">
        <f t="shared" si="14"/>
        <v>71320269.12725018</v>
      </c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BL523" s="41"/>
      <c r="BM523" s="41"/>
      <c r="BN523" s="41"/>
      <c r="BO523" s="41"/>
      <c r="BP523" s="41"/>
      <c r="BQ523" s="41"/>
      <c r="BR523" s="41"/>
      <c r="BS523" s="41"/>
      <c r="BT523" s="41"/>
      <c r="BU523" s="41"/>
      <c r="BV523" s="41"/>
      <c r="BW523" s="41"/>
      <c r="BX523" s="41"/>
      <c r="BY523" s="41"/>
      <c r="BZ523" s="41"/>
      <c r="CA523" s="41"/>
      <c r="CB523" s="41"/>
      <c r="CC523" s="41"/>
      <c r="CD523" s="41"/>
      <c r="CE523" s="41"/>
      <c r="CF523" s="41"/>
      <c r="CG523" s="41"/>
      <c r="CH523" s="41"/>
      <c r="CI523" s="41"/>
      <c r="CJ523" s="41"/>
      <c r="CK523" s="41"/>
      <c r="CL523" s="41"/>
      <c r="CM523" s="41"/>
      <c r="CN523" s="41"/>
      <c r="CO523" s="41"/>
      <c r="CP523" s="41"/>
      <c r="CQ523" s="41"/>
      <c r="CR523" s="41"/>
      <c r="CS523" s="41"/>
      <c r="CT523" s="41"/>
      <c r="CU523" s="41"/>
      <c r="CV523" s="41"/>
      <c r="CW523" s="41"/>
      <c r="CX523" s="41"/>
      <c r="CY523" s="41"/>
      <c r="CZ523" s="41"/>
      <c r="DA523" s="41"/>
      <c r="DB523" s="41"/>
      <c r="DC523" s="41"/>
      <c r="DD523" s="41"/>
      <c r="DE523" s="41"/>
      <c r="DF523" s="41"/>
      <c r="DG523" s="41"/>
      <c r="DH523" s="41"/>
      <c r="DI523" s="41"/>
      <c r="DJ523" s="41"/>
      <c r="DK523" s="41"/>
      <c r="DL523" s="41"/>
      <c r="DM523" s="41"/>
      <c r="DN523" s="41"/>
      <c r="DO523" s="41"/>
      <c r="DP523" s="41"/>
      <c r="DQ523" s="41"/>
      <c r="DR523" s="41"/>
      <c r="DS523" s="41"/>
      <c r="DT523" s="41"/>
      <c r="DU523" s="41"/>
      <c r="DV523" s="41"/>
      <c r="DW523" s="41"/>
      <c r="DX523" s="41"/>
    </row>
    <row r="524" spans="1:128" s="75" customFormat="1" ht="28.5" hidden="1" customHeight="1" x14ac:dyDescent="0.25">
      <c r="A524" s="86" t="s">
        <v>941</v>
      </c>
      <c r="B524" s="87"/>
      <c r="C524" s="85" t="s">
        <v>13</v>
      </c>
      <c r="D524" s="85" t="s">
        <v>48</v>
      </c>
      <c r="E524" s="178">
        <v>1072</v>
      </c>
      <c r="F524" s="178">
        <f>E524*0.025</f>
        <v>26.8</v>
      </c>
      <c r="G524" s="198">
        <f t="shared" si="14"/>
        <v>71321314.327250183</v>
      </c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  <c r="BJ524" s="41"/>
      <c r="BK524" s="41"/>
      <c r="BL524" s="41"/>
      <c r="BM524" s="41"/>
      <c r="BN524" s="41"/>
      <c r="BO524" s="41"/>
      <c r="BP524" s="41"/>
      <c r="BQ524" s="41"/>
      <c r="BR524" s="41"/>
      <c r="BS524" s="41"/>
      <c r="BT524" s="41"/>
      <c r="BU524" s="41"/>
      <c r="BV524" s="41"/>
      <c r="BW524" s="41"/>
      <c r="BX524" s="41"/>
      <c r="BY524" s="41"/>
      <c r="BZ524" s="41"/>
      <c r="CA524" s="41"/>
      <c r="CB524" s="41"/>
      <c r="CC524" s="41"/>
      <c r="CD524" s="41"/>
      <c r="CE524" s="41"/>
      <c r="CF524" s="41"/>
      <c r="CG524" s="41"/>
      <c r="CH524" s="41"/>
      <c r="CI524" s="41"/>
      <c r="CJ524" s="41"/>
      <c r="CK524" s="41"/>
      <c r="CL524" s="41"/>
      <c r="CM524" s="41"/>
      <c r="CN524" s="41"/>
      <c r="CO524" s="41"/>
      <c r="CP524" s="41"/>
      <c r="CQ524" s="41"/>
      <c r="CR524" s="41"/>
      <c r="CS524" s="41"/>
      <c r="CT524" s="41"/>
      <c r="CU524" s="41"/>
      <c r="CV524" s="41"/>
      <c r="CW524" s="41"/>
      <c r="CX524" s="41"/>
      <c r="CY524" s="41"/>
      <c r="CZ524" s="41"/>
      <c r="DA524" s="41"/>
      <c r="DB524" s="41"/>
      <c r="DC524" s="41"/>
      <c r="DD524" s="41"/>
      <c r="DE524" s="41"/>
      <c r="DF524" s="41"/>
      <c r="DG524" s="41"/>
      <c r="DH524" s="41"/>
      <c r="DI524" s="41"/>
      <c r="DJ524" s="41"/>
      <c r="DK524" s="41"/>
      <c r="DL524" s="41"/>
      <c r="DM524" s="41"/>
      <c r="DN524" s="41"/>
      <c r="DO524" s="41"/>
      <c r="DP524" s="41"/>
      <c r="DQ524" s="41"/>
      <c r="DR524" s="41"/>
      <c r="DS524" s="41"/>
      <c r="DT524" s="41"/>
      <c r="DU524" s="41"/>
      <c r="DV524" s="41"/>
      <c r="DW524" s="41"/>
      <c r="DX524" s="41"/>
    </row>
    <row r="525" spans="1:128" s="75" customFormat="1" ht="28.5" hidden="1" customHeight="1" x14ac:dyDescent="0.25">
      <c r="A525" s="86" t="s">
        <v>941</v>
      </c>
      <c r="B525" s="87"/>
      <c r="C525" s="85" t="s">
        <v>13</v>
      </c>
      <c r="D525" s="85" t="s">
        <v>48</v>
      </c>
      <c r="E525" s="178">
        <v>300</v>
      </c>
      <c r="F525" s="178">
        <f>E525*0.025</f>
        <v>7.5</v>
      </c>
      <c r="G525" s="198">
        <f t="shared" si="14"/>
        <v>71321606.827250183</v>
      </c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  <c r="BJ525" s="41"/>
      <c r="BK525" s="41"/>
      <c r="BL525" s="41"/>
      <c r="BM525" s="41"/>
      <c r="BN525" s="41"/>
      <c r="BO525" s="41"/>
      <c r="BP525" s="41"/>
      <c r="BQ525" s="41"/>
      <c r="BR525" s="41"/>
      <c r="BS525" s="41"/>
      <c r="BT525" s="41"/>
      <c r="BU525" s="41"/>
      <c r="BV525" s="41"/>
      <c r="BW525" s="41"/>
      <c r="BX525" s="41"/>
      <c r="BY525" s="41"/>
      <c r="BZ525" s="41"/>
      <c r="CA525" s="41"/>
      <c r="CB525" s="41"/>
      <c r="CC525" s="41"/>
      <c r="CD525" s="41"/>
      <c r="CE525" s="41"/>
      <c r="CF525" s="41"/>
      <c r="CG525" s="41"/>
      <c r="CH525" s="41"/>
      <c r="CI525" s="41"/>
      <c r="CJ525" s="41"/>
      <c r="CK525" s="41"/>
      <c r="CL525" s="41"/>
      <c r="CM525" s="41"/>
      <c r="CN525" s="41"/>
      <c r="CO525" s="41"/>
      <c r="CP525" s="41"/>
      <c r="CQ525" s="41"/>
      <c r="CR525" s="41"/>
      <c r="CS525" s="41"/>
      <c r="CT525" s="41"/>
      <c r="CU525" s="41"/>
      <c r="CV525" s="41"/>
      <c r="CW525" s="41"/>
      <c r="CX525" s="41"/>
      <c r="CY525" s="41"/>
      <c r="CZ525" s="41"/>
      <c r="DA525" s="41"/>
      <c r="DB525" s="41"/>
      <c r="DC525" s="41"/>
      <c r="DD525" s="41"/>
      <c r="DE525" s="41"/>
      <c r="DF525" s="41"/>
      <c r="DG525" s="41"/>
      <c r="DH525" s="41"/>
      <c r="DI525" s="41"/>
      <c r="DJ525" s="41"/>
      <c r="DK525" s="41"/>
      <c r="DL525" s="41"/>
      <c r="DM525" s="41"/>
      <c r="DN525" s="41"/>
      <c r="DO525" s="41"/>
      <c r="DP525" s="41"/>
      <c r="DQ525" s="41"/>
      <c r="DR525" s="41"/>
      <c r="DS525" s="41"/>
      <c r="DT525" s="41"/>
      <c r="DU525" s="41"/>
      <c r="DV525" s="41"/>
      <c r="DW525" s="41"/>
      <c r="DX525" s="41"/>
    </row>
    <row r="526" spans="1:128" s="75" customFormat="1" ht="28.5" hidden="1" customHeight="1" x14ac:dyDescent="0.25">
      <c r="A526" s="86" t="s">
        <v>941</v>
      </c>
      <c r="B526" s="87"/>
      <c r="C526" s="85" t="s">
        <v>13</v>
      </c>
      <c r="D526" s="85" t="s">
        <v>48</v>
      </c>
      <c r="E526" s="178">
        <v>632.62</v>
      </c>
      <c r="F526" s="178">
        <f>E526*0.025</f>
        <v>15.8155</v>
      </c>
      <c r="G526" s="198">
        <f t="shared" si="14"/>
        <v>71322223.631750181</v>
      </c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  <c r="BJ526" s="41"/>
      <c r="BK526" s="41"/>
      <c r="BL526" s="41"/>
      <c r="BM526" s="41"/>
      <c r="BN526" s="41"/>
      <c r="BO526" s="41"/>
      <c r="BP526" s="41"/>
      <c r="BQ526" s="41"/>
      <c r="BR526" s="41"/>
      <c r="BS526" s="41"/>
      <c r="BT526" s="41"/>
      <c r="BU526" s="41"/>
      <c r="BV526" s="41"/>
      <c r="BW526" s="41"/>
      <c r="BX526" s="41"/>
      <c r="BY526" s="41"/>
      <c r="BZ526" s="41"/>
      <c r="CA526" s="41"/>
      <c r="CB526" s="41"/>
      <c r="CC526" s="41"/>
      <c r="CD526" s="41"/>
      <c r="CE526" s="41"/>
      <c r="CF526" s="41"/>
      <c r="CG526" s="41"/>
      <c r="CH526" s="41"/>
      <c r="CI526" s="41"/>
      <c r="CJ526" s="41"/>
      <c r="CK526" s="41"/>
      <c r="CL526" s="41"/>
      <c r="CM526" s="41"/>
      <c r="CN526" s="41"/>
      <c r="CO526" s="41"/>
      <c r="CP526" s="41"/>
      <c r="CQ526" s="41"/>
      <c r="CR526" s="41"/>
      <c r="CS526" s="41"/>
      <c r="CT526" s="41"/>
      <c r="CU526" s="41"/>
      <c r="CV526" s="41"/>
      <c r="CW526" s="41"/>
      <c r="CX526" s="41"/>
      <c r="CY526" s="41"/>
      <c r="CZ526" s="41"/>
      <c r="DA526" s="41"/>
      <c r="DB526" s="41"/>
      <c r="DC526" s="41"/>
      <c r="DD526" s="41"/>
      <c r="DE526" s="41"/>
      <c r="DF526" s="41"/>
      <c r="DG526" s="41"/>
      <c r="DH526" s="41"/>
      <c r="DI526" s="41"/>
      <c r="DJ526" s="41"/>
      <c r="DK526" s="41"/>
      <c r="DL526" s="41"/>
      <c r="DM526" s="41"/>
      <c r="DN526" s="41"/>
      <c r="DO526" s="41"/>
      <c r="DP526" s="41"/>
      <c r="DQ526" s="41"/>
      <c r="DR526" s="41"/>
      <c r="DS526" s="41"/>
      <c r="DT526" s="41"/>
      <c r="DU526" s="41"/>
      <c r="DV526" s="41"/>
      <c r="DW526" s="41"/>
      <c r="DX526" s="41"/>
    </row>
    <row r="527" spans="1:128" s="75" customFormat="1" ht="28.5" hidden="1" customHeight="1" x14ac:dyDescent="0.25">
      <c r="A527" s="86" t="s">
        <v>941</v>
      </c>
      <c r="B527" s="87"/>
      <c r="C527" s="85" t="s">
        <v>13</v>
      </c>
      <c r="D527" s="85" t="s">
        <v>48</v>
      </c>
      <c r="E527" s="178">
        <v>1122</v>
      </c>
      <c r="F527" s="178">
        <f>E527*0.025</f>
        <v>28.05</v>
      </c>
      <c r="G527" s="198">
        <f t="shared" si="14"/>
        <v>71323317.581750184</v>
      </c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  <c r="BJ527" s="41"/>
      <c r="BK527" s="41"/>
      <c r="BL527" s="41"/>
      <c r="BM527" s="41"/>
      <c r="BN527" s="41"/>
      <c r="BO527" s="41"/>
      <c r="BP527" s="41"/>
      <c r="BQ527" s="41"/>
      <c r="BR527" s="41"/>
      <c r="BS527" s="41"/>
      <c r="BT527" s="41"/>
      <c r="BU527" s="41"/>
      <c r="BV527" s="41"/>
      <c r="BW527" s="41"/>
      <c r="BX527" s="41"/>
      <c r="BY527" s="41"/>
      <c r="BZ527" s="41"/>
      <c r="CA527" s="41"/>
      <c r="CB527" s="41"/>
      <c r="CC527" s="41"/>
      <c r="CD527" s="41"/>
      <c r="CE527" s="41"/>
      <c r="CF527" s="41"/>
      <c r="CG527" s="41"/>
      <c r="CH527" s="41"/>
      <c r="CI527" s="41"/>
      <c r="CJ527" s="41"/>
      <c r="CK527" s="41"/>
      <c r="CL527" s="41"/>
      <c r="CM527" s="41"/>
      <c r="CN527" s="41"/>
      <c r="CO527" s="41"/>
      <c r="CP527" s="41"/>
      <c r="CQ527" s="41"/>
      <c r="CR527" s="41"/>
      <c r="CS527" s="41"/>
      <c r="CT527" s="41"/>
      <c r="CU527" s="41"/>
      <c r="CV527" s="41"/>
      <c r="CW527" s="41"/>
      <c r="CX527" s="41"/>
      <c r="CY527" s="41"/>
      <c r="CZ527" s="41"/>
      <c r="DA527" s="41"/>
      <c r="DB527" s="41"/>
      <c r="DC527" s="41"/>
      <c r="DD527" s="41"/>
      <c r="DE527" s="41"/>
      <c r="DF527" s="41"/>
      <c r="DG527" s="41"/>
      <c r="DH527" s="41"/>
      <c r="DI527" s="41"/>
      <c r="DJ527" s="41"/>
      <c r="DK527" s="41"/>
      <c r="DL527" s="41"/>
      <c r="DM527" s="41"/>
      <c r="DN527" s="41"/>
      <c r="DO527" s="41"/>
      <c r="DP527" s="41"/>
      <c r="DQ527" s="41"/>
      <c r="DR527" s="41"/>
      <c r="DS527" s="41"/>
      <c r="DT527" s="41"/>
      <c r="DU527" s="41"/>
      <c r="DV527" s="41"/>
      <c r="DW527" s="41"/>
      <c r="DX527" s="41"/>
    </row>
    <row r="528" spans="1:128" s="75" customFormat="1" ht="28.5" hidden="1" customHeight="1" x14ac:dyDescent="0.25">
      <c r="A528" s="86" t="s">
        <v>941</v>
      </c>
      <c r="B528" s="87"/>
      <c r="C528" s="85" t="s">
        <v>12</v>
      </c>
      <c r="D528" s="85" t="s">
        <v>86</v>
      </c>
      <c r="E528" s="178">
        <v>129870.52</v>
      </c>
      <c r="F528" s="178"/>
      <c r="G528" s="198">
        <f t="shared" si="14"/>
        <v>71453188.10175018</v>
      </c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  <c r="BJ528" s="41"/>
      <c r="BK528" s="41"/>
      <c r="BL528" s="41"/>
      <c r="BM528" s="41"/>
      <c r="BN528" s="41"/>
      <c r="BO528" s="41"/>
      <c r="BP528" s="41"/>
      <c r="BQ528" s="41"/>
      <c r="BR528" s="41"/>
      <c r="BS528" s="41"/>
      <c r="BT528" s="41"/>
      <c r="BU528" s="41"/>
      <c r="BV528" s="41"/>
      <c r="BW528" s="41"/>
      <c r="BX528" s="41"/>
      <c r="BY528" s="41"/>
      <c r="BZ528" s="41"/>
      <c r="CA528" s="41"/>
      <c r="CB528" s="41"/>
      <c r="CC528" s="41"/>
      <c r="CD528" s="41"/>
      <c r="CE528" s="41"/>
      <c r="CF528" s="41"/>
      <c r="CG528" s="41"/>
      <c r="CH528" s="41"/>
      <c r="CI528" s="41"/>
      <c r="CJ528" s="41"/>
      <c r="CK528" s="41"/>
      <c r="CL528" s="41"/>
      <c r="CM528" s="41"/>
      <c r="CN528" s="41"/>
      <c r="CO528" s="41"/>
      <c r="CP528" s="41"/>
      <c r="CQ528" s="41"/>
      <c r="CR528" s="41"/>
      <c r="CS528" s="41"/>
      <c r="CT528" s="41"/>
      <c r="CU528" s="41"/>
      <c r="CV528" s="41"/>
      <c r="CW528" s="41"/>
      <c r="CX528" s="41"/>
      <c r="CY528" s="41"/>
      <c r="CZ528" s="41"/>
      <c r="DA528" s="41"/>
      <c r="DB528" s="41"/>
      <c r="DC528" s="41"/>
      <c r="DD528" s="41"/>
      <c r="DE528" s="41"/>
      <c r="DF528" s="41"/>
      <c r="DG528" s="41"/>
      <c r="DH528" s="41"/>
      <c r="DI528" s="41"/>
      <c r="DJ528" s="41"/>
      <c r="DK528" s="41"/>
      <c r="DL528" s="41"/>
      <c r="DM528" s="41"/>
      <c r="DN528" s="41"/>
      <c r="DO528" s="41"/>
      <c r="DP528" s="41"/>
      <c r="DQ528" s="41"/>
      <c r="DR528" s="41"/>
      <c r="DS528" s="41"/>
      <c r="DT528" s="41"/>
      <c r="DU528" s="41"/>
      <c r="DV528" s="41"/>
      <c r="DW528" s="41"/>
      <c r="DX528" s="41"/>
    </row>
    <row r="529" spans="1:128" s="75" customFormat="1" ht="28.5" hidden="1" customHeight="1" x14ac:dyDescent="0.25">
      <c r="A529" s="86" t="s">
        <v>941</v>
      </c>
      <c r="B529" s="87"/>
      <c r="C529" s="85" t="s">
        <v>12</v>
      </c>
      <c r="D529" s="85" t="s">
        <v>33</v>
      </c>
      <c r="E529" s="178">
        <v>122087.89</v>
      </c>
      <c r="F529" s="178"/>
      <c r="G529" s="199">
        <f t="shared" si="14"/>
        <v>71575275.991750181</v>
      </c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  <c r="BJ529" s="41"/>
      <c r="BK529" s="41"/>
      <c r="BL529" s="41"/>
      <c r="BM529" s="41"/>
      <c r="BN529" s="41"/>
      <c r="BO529" s="41"/>
      <c r="BP529" s="41"/>
      <c r="BQ529" s="41"/>
      <c r="BR529" s="41"/>
      <c r="BS529" s="41"/>
      <c r="BT529" s="41"/>
      <c r="BU529" s="41"/>
      <c r="BV529" s="41"/>
      <c r="BW529" s="41"/>
      <c r="BX529" s="41"/>
      <c r="BY529" s="41"/>
      <c r="BZ529" s="41"/>
      <c r="CA529" s="41"/>
      <c r="CB529" s="41"/>
      <c r="CC529" s="41"/>
      <c r="CD529" s="41"/>
      <c r="CE529" s="41"/>
      <c r="CF529" s="41"/>
      <c r="CG529" s="41"/>
      <c r="CH529" s="41"/>
      <c r="CI529" s="41"/>
      <c r="CJ529" s="41"/>
      <c r="CK529" s="41"/>
      <c r="CL529" s="41"/>
      <c r="CM529" s="41"/>
      <c r="CN529" s="41"/>
      <c r="CO529" s="41"/>
      <c r="CP529" s="41"/>
      <c r="CQ529" s="41"/>
      <c r="CR529" s="41"/>
      <c r="CS529" s="41"/>
      <c r="CT529" s="41"/>
      <c r="CU529" s="41"/>
      <c r="CV529" s="41"/>
      <c r="CW529" s="41"/>
      <c r="CX529" s="41"/>
      <c r="CY529" s="41"/>
      <c r="CZ529" s="41"/>
      <c r="DA529" s="41"/>
      <c r="DB529" s="41"/>
      <c r="DC529" s="41"/>
      <c r="DD529" s="41"/>
      <c r="DE529" s="41"/>
      <c r="DF529" s="41"/>
      <c r="DG529" s="41"/>
      <c r="DH529" s="41"/>
      <c r="DI529" s="41"/>
      <c r="DJ529" s="41"/>
      <c r="DK529" s="41"/>
      <c r="DL529" s="41"/>
      <c r="DM529" s="41"/>
      <c r="DN529" s="41"/>
      <c r="DO529" s="41"/>
      <c r="DP529" s="41"/>
      <c r="DQ529" s="41"/>
      <c r="DR529" s="41"/>
      <c r="DS529" s="41"/>
      <c r="DT529" s="41"/>
      <c r="DU529" s="41"/>
      <c r="DV529" s="41"/>
      <c r="DW529" s="41"/>
      <c r="DX529" s="41"/>
    </row>
    <row r="530" spans="1:128" s="75" customFormat="1" ht="31.5" hidden="1" x14ac:dyDescent="0.25">
      <c r="A530" s="86" t="s">
        <v>936</v>
      </c>
      <c r="B530" s="207" t="s">
        <v>956</v>
      </c>
      <c r="C530" s="85" t="s">
        <v>957</v>
      </c>
      <c r="D530" s="85" t="s">
        <v>958</v>
      </c>
      <c r="E530" s="178"/>
      <c r="F530" s="178">
        <v>1327530</v>
      </c>
      <c r="G530" s="198">
        <f t="shared" si="14"/>
        <v>70247745.991750181</v>
      </c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  <c r="BJ530" s="41"/>
      <c r="BK530" s="41"/>
      <c r="BL530" s="41"/>
      <c r="BM530" s="41"/>
      <c r="BN530" s="41"/>
      <c r="BO530" s="41"/>
      <c r="BP530" s="41"/>
      <c r="BQ530" s="41"/>
      <c r="BR530" s="41"/>
      <c r="BS530" s="41"/>
      <c r="BT530" s="41"/>
      <c r="BU530" s="41"/>
      <c r="BV530" s="41"/>
      <c r="BW530" s="41"/>
      <c r="BX530" s="41"/>
      <c r="BY530" s="41"/>
      <c r="BZ530" s="41"/>
      <c r="CA530" s="41"/>
      <c r="CB530" s="41"/>
      <c r="CC530" s="41"/>
      <c r="CD530" s="41"/>
      <c r="CE530" s="41"/>
      <c r="CF530" s="41"/>
      <c r="CG530" s="41"/>
      <c r="CH530" s="41"/>
      <c r="CI530" s="41"/>
      <c r="CJ530" s="41"/>
      <c r="CK530" s="41"/>
      <c r="CL530" s="41"/>
      <c r="CM530" s="41"/>
      <c r="CN530" s="41"/>
      <c r="CO530" s="41"/>
      <c r="CP530" s="41"/>
      <c r="CQ530" s="41"/>
      <c r="CR530" s="41"/>
      <c r="CS530" s="41"/>
      <c r="CT530" s="41"/>
      <c r="CU530" s="41"/>
      <c r="CV530" s="41"/>
      <c r="CW530" s="41"/>
      <c r="CX530" s="41"/>
      <c r="CY530" s="41"/>
      <c r="CZ530" s="41"/>
      <c r="DA530" s="41"/>
      <c r="DB530" s="41"/>
      <c r="DC530" s="41"/>
      <c r="DD530" s="41"/>
      <c r="DE530" s="41"/>
      <c r="DF530" s="41"/>
      <c r="DG530" s="41"/>
      <c r="DH530" s="41"/>
      <c r="DI530" s="41"/>
      <c r="DJ530" s="41"/>
      <c r="DK530" s="41"/>
      <c r="DL530" s="41"/>
      <c r="DM530" s="41"/>
      <c r="DN530" s="41"/>
      <c r="DO530" s="41"/>
      <c r="DP530" s="41"/>
      <c r="DQ530" s="41"/>
      <c r="DR530" s="41"/>
      <c r="DS530" s="41"/>
      <c r="DT530" s="41"/>
      <c r="DU530" s="41"/>
      <c r="DV530" s="41"/>
      <c r="DW530" s="41"/>
      <c r="DX530" s="41"/>
    </row>
    <row r="531" spans="1:128" s="75" customFormat="1" ht="63" hidden="1" x14ac:dyDescent="0.25">
      <c r="A531" s="86" t="s">
        <v>936</v>
      </c>
      <c r="B531" s="207" t="s">
        <v>969</v>
      </c>
      <c r="C531" s="85" t="s">
        <v>970</v>
      </c>
      <c r="D531" s="85" t="s">
        <v>971</v>
      </c>
      <c r="E531" s="178"/>
      <c r="F531" s="178">
        <v>134900.78</v>
      </c>
      <c r="G531" s="198">
        <f t="shared" si="14"/>
        <v>70112845.21175018</v>
      </c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  <c r="BJ531" s="41"/>
      <c r="BK531" s="41"/>
      <c r="BL531" s="41"/>
      <c r="BM531" s="41"/>
      <c r="BN531" s="41"/>
      <c r="BO531" s="41"/>
      <c r="BP531" s="41"/>
      <c r="BQ531" s="41"/>
      <c r="BR531" s="41"/>
      <c r="BS531" s="41"/>
      <c r="BT531" s="41"/>
      <c r="BU531" s="41"/>
      <c r="BV531" s="41"/>
      <c r="BW531" s="41"/>
      <c r="BX531" s="41"/>
      <c r="BY531" s="41"/>
      <c r="BZ531" s="41"/>
      <c r="CA531" s="41"/>
      <c r="CB531" s="41"/>
      <c r="CC531" s="41"/>
      <c r="CD531" s="41"/>
      <c r="CE531" s="41"/>
      <c r="CF531" s="41"/>
      <c r="CG531" s="41"/>
      <c r="CH531" s="41"/>
      <c r="CI531" s="41"/>
      <c r="CJ531" s="41"/>
      <c r="CK531" s="41"/>
      <c r="CL531" s="41"/>
      <c r="CM531" s="41"/>
      <c r="CN531" s="41"/>
      <c r="CO531" s="41"/>
      <c r="CP531" s="41"/>
      <c r="CQ531" s="41"/>
      <c r="CR531" s="41"/>
      <c r="CS531" s="41"/>
      <c r="CT531" s="41"/>
      <c r="CU531" s="41"/>
      <c r="CV531" s="41"/>
      <c r="CW531" s="41"/>
      <c r="CX531" s="41"/>
      <c r="CY531" s="41"/>
      <c r="CZ531" s="41"/>
      <c r="DA531" s="41"/>
      <c r="DB531" s="41"/>
      <c r="DC531" s="41"/>
      <c r="DD531" s="41"/>
      <c r="DE531" s="41"/>
      <c r="DF531" s="41"/>
      <c r="DG531" s="41"/>
      <c r="DH531" s="41"/>
      <c r="DI531" s="41"/>
      <c r="DJ531" s="41"/>
      <c r="DK531" s="41"/>
      <c r="DL531" s="41"/>
      <c r="DM531" s="41"/>
      <c r="DN531" s="41"/>
      <c r="DO531" s="41"/>
      <c r="DP531" s="41"/>
      <c r="DQ531" s="41"/>
      <c r="DR531" s="41"/>
      <c r="DS531" s="41"/>
      <c r="DT531" s="41"/>
      <c r="DU531" s="41"/>
      <c r="DV531" s="41"/>
      <c r="DW531" s="41"/>
      <c r="DX531" s="41"/>
    </row>
    <row r="532" spans="1:128" s="75" customFormat="1" ht="15.75" hidden="1" x14ac:dyDescent="0.25">
      <c r="A532" s="86" t="s">
        <v>936</v>
      </c>
      <c r="B532" s="207" t="s">
        <v>959</v>
      </c>
      <c r="C532" s="85" t="s">
        <v>685</v>
      </c>
      <c r="D532" s="85" t="s">
        <v>960</v>
      </c>
      <c r="E532" s="178"/>
      <c r="F532" s="178">
        <v>1537145.5</v>
      </c>
      <c r="G532" s="198">
        <f t="shared" si="14"/>
        <v>68575699.71175018</v>
      </c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  <c r="BJ532" s="41"/>
      <c r="BK532" s="41"/>
      <c r="BL532" s="41"/>
      <c r="BM532" s="41"/>
      <c r="BN532" s="41"/>
      <c r="BO532" s="41"/>
      <c r="BP532" s="41"/>
      <c r="BQ532" s="41"/>
      <c r="BR532" s="41"/>
      <c r="BS532" s="41"/>
      <c r="BT532" s="41"/>
      <c r="BU532" s="41"/>
      <c r="BV532" s="41"/>
      <c r="BW532" s="41"/>
      <c r="BX532" s="41"/>
      <c r="BY532" s="41"/>
      <c r="BZ532" s="41"/>
      <c r="CA532" s="41"/>
      <c r="CB532" s="41"/>
      <c r="CC532" s="41"/>
      <c r="CD532" s="41"/>
      <c r="CE532" s="41"/>
      <c r="CF532" s="41"/>
      <c r="CG532" s="41"/>
      <c r="CH532" s="41"/>
      <c r="CI532" s="41"/>
      <c r="CJ532" s="41"/>
      <c r="CK532" s="41"/>
      <c r="CL532" s="41"/>
      <c r="CM532" s="41"/>
      <c r="CN532" s="41"/>
      <c r="CO532" s="41"/>
      <c r="CP532" s="41"/>
      <c r="CQ532" s="41"/>
      <c r="CR532" s="41"/>
      <c r="CS532" s="41"/>
      <c r="CT532" s="41"/>
      <c r="CU532" s="41"/>
      <c r="CV532" s="41"/>
      <c r="CW532" s="41"/>
      <c r="CX532" s="41"/>
      <c r="CY532" s="41"/>
      <c r="CZ532" s="41"/>
      <c r="DA532" s="41"/>
      <c r="DB532" s="41"/>
      <c r="DC532" s="41"/>
      <c r="DD532" s="41"/>
      <c r="DE532" s="41"/>
      <c r="DF532" s="41"/>
      <c r="DG532" s="41"/>
      <c r="DH532" s="41"/>
      <c r="DI532" s="41"/>
      <c r="DJ532" s="41"/>
      <c r="DK532" s="41"/>
      <c r="DL532" s="41"/>
      <c r="DM532" s="41"/>
      <c r="DN532" s="41"/>
      <c r="DO532" s="41"/>
      <c r="DP532" s="41"/>
      <c r="DQ532" s="41"/>
      <c r="DR532" s="41"/>
      <c r="DS532" s="41"/>
      <c r="DT532" s="41"/>
      <c r="DU532" s="41"/>
      <c r="DV532" s="41"/>
      <c r="DW532" s="41"/>
      <c r="DX532" s="41"/>
    </row>
    <row r="533" spans="1:128" s="75" customFormat="1" ht="31.5" hidden="1" x14ac:dyDescent="0.25">
      <c r="A533" s="86" t="s">
        <v>936</v>
      </c>
      <c r="B533" s="207" t="s">
        <v>961</v>
      </c>
      <c r="C533" s="85" t="s">
        <v>962</v>
      </c>
      <c r="D533" s="85" t="s">
        <v>963</v>
      </c>
      <c r="E533" s="178"/>
      <c r="F533" s="178">
        <v>607985.93999999994</v>
      </c>
      <c r="G533" s="198">
        <f t="shared" si="14"/>
        <v>67967713.771750182</v>
      </c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  <c r="BJ533" s="41"/>
      <c r="BK533" s="41"/>
      <c r="BL533" s="41"/>
      <c r="BM533" s="41"/>
      <c r="BN533" s="41"/>
      <c r="BO533" s="41"/>
      <c r="BP533" s="41"/>
      <c r="BQ533" s="41"/>
      <c r="BR533" s="41"/>
      <c r="BS533" s="41"/>
      <c r="BT533" s="41"/>
      <c r="BU533" s="41"/>
      <c r="BV533" s="41"/>
      <c r="BW533" s="41"/>
      <c r="BX533" s="41"/>
      <c r="BY533" s="41"/>
      <c r="BZ533" s="41"/>
      <c r="CA533" s="41"/>
      <c r="CB533" s="41"/>
      <c r="CC533" s="41"/>
      <c r="CD533" s="41"/>
      <c r="CE533" s="41"/>
      <c r="CF533" s="41"/>
      <c r="CG533" s="41"/>
      <c r="CH533" s="41"/>
      <c r="CI533" s="41"/>
      <c r="CJ533" s="41"/>
      <c r="CK533" s="41"/>
      <c r="CL533" s="41"/>
      <c r="CM533" s="41"/>
      <c r="CN533" s="41"/>
      <c r="CO533" s="41"/>
      <c r="CP533" s="41"/>
      <c r="CQ533" s="41"/>
      <c r="CR533" s="41"/>
      <c r="CS533" s="41"/>
      <c r="CT533" s="41"/>
      <c r="CU533" s="41"/>
      <c r="CV533" s="41"/>
      <c r="CW533" s="41"/>
      <c r="CX533" s="41"/>
      <c r="CY533" s="41"/>
      <c r="CZ533" s="41"/>
      <c r="DA533" s="41"/>
      <c r="DB533" s="41"/>
      <c r="DC533" s="41"/>
      <c r="DD533" s="41"/>
      <c r="DE533" s="41"/>
      <c r="DF533" s="41"/>
      <c r="DG533" s="41"/>
      <c r="DH533" s="41"/>
      <c r="DI533" s="41"/>
      <c r="DJ533" s="41"/>
      <c r="DK533" s="41"/>
      <c r="DL533" s="41"/>
      <c r="DM533" s="41"/>
      <c r="DN533" s="41"/>
      <c r="DO533" s="41"/>
      <c r="DP533" s="41"/>
      <c r="DQ533" s="41"/>
      <c r="DR533" s="41"/>
      <c r="DS533" s="41"/>
      <c r="DT533" s="41"/>
      <c r="DU533" s="41"/>
      <c r="DV533" s="41"/>
      <c r="DW533" s="41"/>
      <c r="DX533" s="41"/>
    </row>
    <row r="534" spans="1:128" s="75" customFormat="1" ht="47.25" hidden="1" x14ac:dyDescent="0.25">
      <c r="A534" s="86" t="s">
        <v>936</v>
      </c>
      <c r="B534" s="207" t="s">
        <v>952</v>
      </c>
      <c r="C534" s="85" t="s">
        <v>939</v>
      </c>
      <c r="D534" s="85" t="s">
        <v>940</v>
      </c>
      <c r="E534" s="178"/>
      <c r="F534" s="178">
        <v>1457344.11</v>
      </c>
      <c r="G534" s="198">
        <f t="shared" si="14"/>
        <v>66510369.661750183</v>
      </c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  <c r="BJ534" s="41"/>
      <c r="BK534" s="41"/>
      <c r="BL534" s="41"/>
      <c r="BM534" s="41"/>
      <c r="BN534" s="41"/>
      <c r="BO534" s="41"/>
      <c r="BP534" s="41"/>
      <c r="BQ534" s="41"/>
      <c r="BR534" s="41"/>
      <c r="BS534" s="41"/>
      <c r="BT534" s="41"/>
      <c r="BU534" s="41"/>
      <c r="BV534" s="41"/>
      <c r="BW534" s="41"/>
      <c r="BX534" s="41"/>
      <c r="BY534" s="41"/>
      <c r="BZ534" s="41"/>
      <c r="CA534" s="41"/>
      <c r="CB534" s="41"/>
      <c r="CC534" s="41"/>
      <c r="CD534" s="41"/>
      <c r="CE534" s="41"/>
      <c r="CF534" s="41"/>
      <c r="CG534" s="41"/>
      <c r="CH534" s="41"/>
      <c r="CI534" s="41"/>
      <c r="CJ534" s="41"/>
      <c r="CK534" s="41"/>
      <c r="CL534" s="41"/>
      <c r="CM534" s="41"/>
      <c r="CN534" s="41"/>
      <c r="CO534" s="41"/>
      <c r="CP534" s="41"/>
      <c r="CQ534" s="41"/>
      <c r="CR534" s="41"/>
      <c r="CS534" s="41"/>
      <c r="CT534" s="41"/>
      <c r="CU534" s="41"/>
      <c r="CV534" s="41"/>
      <c r="CW534" s="41"/>
      <c r="CX534" s="41"/>
      <c r="CY534" s="41"/>
      <c r="CZ534" s="41"/>
      <c r="DA534" s="41"/>
      <c r="DB534" s="41"/>
      <c r="DC534" s="41"/>
      <c r="DD534" s="41"/>
      <c r="DE534" s="41"/>
      <c r="DF534" s="41"/>
      <c r="DG534" s="41"/>
      <c r="DH534" s="41"/>
      <c r="DI534" s="41"/>
      <c r="DJ534" s="41"/>
      <c r="DK534" s="41"/>
      <c r="DL534" s="41"/>
      <c r="DM534" s="41"/>
      <c r="DN534" s="41"/>
      <c r="DO534" s="41"/>
      <c r="DP534" s="41"/>
      <c r="DQ534" s="41"/>
      <c r="DR534" s="41"/>
      <c r="DS534" s="41"/>
      <c r="DT534" s="41"/>
      <c r="DU534" s="41"/>
      <c r="DV534" s="41"/>
      <c r="DW534" s="41"/>
      <c r="DX534" s="41"/>
    </row>
    <row r="535" spans="1:128" s="75" customFormat="1" ht="15.75" hidden="1" x14ac:dyDescent="0.25">
      <c r="A535" s="86" t="s">
        <v>936</v>
      </c>
      <c r="B535" s="207" t="s">
        <v>964</v>
      </c>
      <c r="C535" s="85" t="s">
        <v>965</v>
      </c>
      <c r="D535" s="85" t="s">
        <v>966</v>
      </c>
      <c r="E535" s="178"/>
      <c r="F535" s="178">
        <v>208240.92</v>
      </c>
      <c r="G535" s="198">
        <f t="shared" si="14"/>
        <v>66302128.741750181</v>
      </c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  <c r="BJ535" s="41"/>
      <c r="BK535" s="41"/>
      <c r="BL535" s="41"/>
      <c r="BM535" s="41"/>
      <c r="BN535" s="41"/>
      <c r="BO535" s="41"/>
      <c r="BP535" s="41"/>
      <c r="BQ535" s="41"/>
      <c r="BR535" s="41"/>
      <c r="BS535" s="41"/>
      <c r="BT535" s="41"/>
      <c r="BU535" s="41"/>
      <c r="BV535" s="41"/>
      <c r="BW535" s="41"/>
      <c r="BX535" s="41"/>
      <c r="BY535" s="41"/>
      <c r="BZ535" s="41"/>
      <c r="CA535" s="41"/>
      <c r="CB535" s="41"/>
      <c r="CC535" s="41"/>
      <c r="CD535" s="41"/>
      <c r="CE535" s="41"/>
      <c r="CF535" s="41"/>
      <c r="CG535" s="41"/>
      <c r="CH535" s="41"/>
      <c r="CI535" s="41"/>
      <c r="CJ535" s="41"/>
      <c r="CK535" s="41"/>
      <c r="CL535" s="41"/>
      <c r="CM535" s="41"/>
      <c r="CN535" s="41"/>
      <c r="CO535" s="41"/>
      <c r="CP535" s="41"/>
      <c r="CQ535" s="41"/>
      <c r="CR535" s="41"/>
      <c r="CS535" s="41"/>
      <c r="CT535" s="41"/>
      <c r="CU535" s="41"/>
      <c r="CV535" s="41"/>
      <c r="CW535" s="41"/>
      <c r="CX535" s="41"/>
      <c r="CY535" s="41"/>
      <c r="CZ535" s="41"/>
      <c r="DA535" s="41"/>
      <c r="DB535" s="41"/>
      <c r="DC535" s="41"/>
      <c r="DD535" s="41"/>
      <c r="DE535" s="41"/>
      <c r="DF535" s="41"/>
      <c r="DG535" s="41"/>
      <c r="DH535" s="41"/>
      <c r="DI535" s="41"/>
      <c r="DJ535" s="41"/>
      <c r="DK535" s="41"/>
      <c r="DL535" s="41"/>
      <c r="DM535" s="41"/>
      <c r="DN535" s="41"/>
      <c r="DO535" s="41"/>
      <c r="DP535" s="41"/>
      <c r="DQ535" s="41"/>
      <c r="DR535" s="41"/>
      <c r="DS535" s="41"/>
      <c r="DT535" s="41"/>
      <c r="DU535" s="41"/>
      <c r="DV535" s="41"/>
      <c r="DW535" s="41"/>
      <c r="DX535" s="41"/>
    </row>
    <row r="536" spans="1:128" s="75" customFormat="1" ht="15.75" hidden="1" x14ac:dyDescent="0.25">
      <c r="A536" s="86" t="s">
        <v>936</v>
      </c>
      <c r="B536" s="87"/>
      <c r="C536" s="85" t="s">
        <v>13</v>
      </c>
      <c r="D536" s="85" t="s">
        <v>22</v>
      </c>
      <c r="E536" s="178">
        <v>18881</v>
      </c>
      <c r="F536" s="178"/>
      <c r="G536" s="198">
        <f t="shared" si="14"/>
        <v>66321009.741750181</v>
      </c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  <c r="BJ536" s="41"/>
      <c r="BK536" s="41"/>
      <c r="BL536" s="41"/>
      <c r="BM536" s="41"/>
      <c r="BN536" s="41"/>
      <c r="BO536" s="41"/>
      <c r="BP536" s="41"/>
      <c r="BQ536" s="41"/>
      <c r="BR536" s="41"/>
      <c r="BS536" s="41"/>
      <c r="BT536" s="41"/>
      <c r="BU536" s="41"/>
      <c r="BV536" s="41"/>
      <c r="BW536" s="41"/>
      <c r="BX536" s="41"/>
      <c r="BY536" s="41"/>
      <c r="BZ536" s="41"/>
      <c r="CA536" s="41"/>
      <c r="CB536" s="41"/>
      <c r="CC536" s="41"/>
      <c r="CD536" s="41"/>
      <c r="CE536" s="41"/>
      <c r="CF536" s="41"/>
      <c r="CG536" s="41"/>
      <c r="CH536" s="41"/>
      <c r="CI536" s="41"/>
      <c r="CJ536" s="41"/>
      <c r="CK536" s="41"/>
      <c r="CL536" s="41"/>
      <c r="CM536" s="41"/>
      <c r="CN536" s="41"/>
      <c r="CO536" s="41"/>
      <c r="CP536" s="41"/>
      <c r="CQ536" s="41"/>
      <c r="CR536" s="41"/>
      <c r="CS536" s="41"/>
      <c r="CT536" s="41"/>
      <c r="CU536" s="41"/>
      <c r="CV536" s="41"/>
      <c r="CW536" s="41"/>
      <c r="CX536" s="41"/>
      <c r="CY536" s="41"/>
      <c r="CZ536" s="41"/>
      <c r="DA536" s="41"/>
      <c r="DB536" s="41"/>
      <c r="DC536" s="41"/>
      <c r="DD536" s="41"/>
      <c r="DE536" s="41"/>
      <c r="DF536" s="41"/>
      <c r="DG536" s="41"/>
      <c r="DH536" s="41"/>
      <c r="DI536" s="41"/>
      <c r="DJ536" s="41"/>
      <c r="DK536" s="41"/>
      <c r="DL536" s="41"/>
      <c r="DM536" s="41"/>
      <c r="DN536" s="41"/>
      <c r="DO536" s="41"/>
      <c r="DP536" s="41"/>
      <c r="DQ536" s="41"/>
      <c r="DR536" s="41"/>
      <c r="DS536" s="41"/>
      <c r="DT536" s="41"/>
      <c r="DU536" s="41"/>
      <c r="DV536" s="41"/>
      <c r="DW536" s="41"/>
      <c r="DX536" s="41"/>
    </row>
    <row r="537" spans="1:128" s="75" customFormat="1" ht="15.75" hidden="1" x14ac:dyDescent="0.25">
      <c r="A537" s="86" t="s">
        <v>936</v>
      </c>
      <c r="B537" s="87"/>
      <c r="C537" s="85" t="s">
        <v>13</v>
      </c>
      <c r="D537" s="85" t="s">
        <v>48</v>
      </c>
      <c r="E537" s="178">
        <v>240.4</v>
      </c>
      <c r="F537" s="178">
        <f>E537*0.025</f>
        <v>6.0100000000000007</v>
      </c>
      <c r="G537" s="198">
        <f t="shared" si="14"/>
        <v>66321244.131750181</v>
      </c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  <c r="BJ537" s="41"/>
      <c r="BK537" s="41"/>
      <c r="BL537" s="41"/>
      <c r="BM537" s="41"/>
      <c r="BN537" s="41"/>
      <c r="BO537" s="41"/>
      <c r="BP537" s="41"/>
      <c r="BQ537" s="41"/>
      <c r="BR537" s="41"/>
      <c r="BS537" s="41"/>
      <c r="BT537" s="41"/>
      <c r="BU537" s="41"/>
      <c r="BV537" s="41"/>
      <c r="BW537" s="41"/>
      <c r="BX537" s="41"/>
      <c r="BY537" s="41"/>
      <c r="BZ537" s="41"/>
      <c r="CA537" s="41"/>
      <c r="CB537" s="41"/>
      <c r="CC537" s="41"/>
      <c r="CD537" s="41"/>
      <c r="CE537" s="41"/>
      <c r="CF537" s="41"/>
      <c r="CG537" s="41"/>
      <c r="CH537" s="41"/>
      <c r="CI537" s="41"/>
      <c r="CJ537" s="41"/>
      <c r="CK537" s="41"/>
      <c r="CL537" s="41"/>
      <c r="CM537" s="41"/>
      <c r="CN537" s="41"/>
      <c r="CO537" s="41"/>
      <c r="CP537" s="41"/>
      <c r="CQ537" s="41"/>
      <c r="CR537" s="41"/>
      <c r="CS537" s="41"/>
      <c r="CT537" s="41"/>
      <c r="CU537" s="41"/>
      <c r="CV537" s="41"/>
      <c r="CW537" s="41"/>
      <c r="CX537" s="41"/>
      <c r="CY537" s="41"/>
      <c r="CZ537" s="41"/>
      <c r="DA537" s="41"/>
      <c r="DB537" s="41"/>
      <c r="DC537" s="41"/>
      <c r="DD537" s="41"/>
      <c r="DE537" s="41"/>
      <c r="DF537" s="41"/>
      <c r="DG537" s="41"/>
      <c r="DH537" s="41"/>
      <c r="DI537" s="41"/>
      <c r="DJ537" s="41"/>
      <c r="DK537" s="41"/>
      <c r="DL537" s="41"/>
      <c r="DM537" s="41"/>
      <c r="DN537" s="41"/>
      <c r="DO537" s="41"/>
      <c r="DP537" s="41"/>
      <c r="DQ537" s="41"/>
      <c r="DR537" s="41"/>
      <c r="DS537" s="41"/>
      <c r="DT537" s="41"/>
      <c r="DU537" s="41"/>
      <c r="DV537" s="41"/>
      <c r="DW537" s="41"/>
      <c r="DX537" s="41"/>
    </row>
    <row r="538" spans="1:128" s="75" customFormat="1" ht="15.75" hidden="1" x14ac:dyDescent="0.25">
      <c r="A538" s="86" t="s">
        <v>936</v>
      </c>
      <c r="B538" s="87"/>
      <c r="C538" s="85" t="s">
        <v>13</v>
      </c>
      <c r="D538" s="85" t="s">
        <v>48</v>
      </c>
      <c r="E538" s="178">
        <v>993.44</v>
      </c>
      <c r="F538" s="178">
        <f>E538*0.025</f>
        <v>24.836000000000002</v>
      </c>
      <c r="G538" s="198">
        <f t="shared" si="14"/>
        <v>66322212.735750176</v>
      </c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41"/>
      <c r="BL538" s="41"/>
      <c r="BM538" s="41"/>
      <c r="BN538" s="41"/>
      <c r="BO538" s="41"/>
      <c r="BP538" s="41"/>
      <c r="BQ538" s="41"/>
      <c r="BR538" s="41"/>
      <c r="BS538" s="41"/>
      <c r="BT538" s="41"/>
      <c r="BU538" s="41"/>
      <c r="BV538" s="41"/>
      <c r="BW538" s="41"/>
      <c r="BX538" s="41"/>
      <c r="BY538" s="41"/>
      <c r="BZ538" s="41"/>
      <c r="CA538" s="41"/>
      <c r="CB538" s="41"/>
      <c r="CC538" s="41"/>
      <c r="CD538" s="41"/>
      <c r="CE538" s="41"/>
      <c r="CF538" s="41"/>
      <c r="CG538" s="41"/>
      <c r="CH538" s="41"/>
      <c r="CI538" s="41"/>
      <c r="CJ538" s="41"/>
      <c r="CK538" s="41"/>
      <c r="CL538" s="41"/>
      <c r="CM538" s="41"/>
      <c r="CN538" s="41"/>
      <c r="CO538" s="41"/>
      <c r="CP538" s="41"/>
      <c r="CQ538" s="41"/>
      <c r="CR538" s="41"/>
      <c r="CS538" s="41"/>
      <c r="CT538" s="41"/>
      <c r="CU538" s="41"/>
      <c r="CV538" s="41"/>
      <c r="CW538" s="41"/>
      <c r="CX538" s="41"/>
      <c r="CY538" s="41"/>
      <c r="CZ538" s="41"/>
      <c r="DA538" s="41"/>
      <c r="DB538" s="41"/>
      <c r="DC538" s="41"/>
      <c r="DD538" s="41"/>
      <c r="DE538" s="41"/>
      <c r="DF538" s="41"/>
      <c r="DG538" s="41"/>
      <c r="DH538" s="41"/>
      <c r="DI538" s="41"/>
      <c r="DJ538" s="41"/>
      <c r="DK538" s="41"/>
      <c r="DL538" s="41"/>
      <c r="DM538" s="41"/>
      <c r="DN538" s="41"/>
      <c r="DO538" s="41"/>
      <c r="DP538" s="41"/>
      <c r="DQ538" s="41"/>
      <c r="DR538" s="41"/>
      <c r="DS538" s="41"/>
      <c r="DT538" s="41"/>
      <c r="DU538" s="41"/>
      <c r="DV538" s="41"/>
      <c r="DW538" s="41"/>
      <c r="DX538" s="41"/>
    </row>
    <row r="539" spans="1:128" s="75" customFormat="1" ht="15.75" hidden="1" x14ac:dyDescent="0.25">
      <c r="A539" s="86" t="s">
        <v>936</v>
      </c>
      <c r="B539" s="87"/>
      <c r="C539" s="85" t="s">
        <v>13</v>
      </c>
      <c r="D539" s="85" t="s">
        <v>48</v>
      </c>
      <c r="E539" s="178">
        <v>100</v>
      </c>
      <c r="F539" s="178">
        <f>E539*0.025</f>
        <v>2.5</v>
      </c>
      <c r="G539" s="198">
        <f t="shared" si="14"/>
        <v>66322310.235750176</v>
      </c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  <c r="BI539" s="41"/>
      <c r="BJ539" s="41"/>
      <c r="BK539" s="41"/>
      <c r="BL539" s="41"/>
      <c r="BM539" s="41"/>
      <c r="BN539" s="41"/>
      <c r="BO539" s="41"/>
      <c r="BP539" s="41"/>
      <c r="BQ539" s="41"/>
      <c r="BR539" s="41"/>
      <c r="BS539" s="41"/>
      <c r="BT539" s="41"/>
      <c r="BU539" s="41"/>
      <c r="BV539" s="41"/>
      <c r="BW539" s="41"/>
      <c r="BX539" s="41"/>
      <c r="BY539" s="41"/>
      <c r="BZ539" s="41"/>
      <c r="CA539" s="41"/>
      <c r="CB539" s="41"/>
      <c r="CC539" s="41"/>
      <c r="CD539" s="41"/>
      <c r="CE539" s="41"/>
      <c r="CF539" s="41"/>
      <c r="CG539" s="41"/>
      <c r="CH539" s="41"/>
      <c r="CI539" s="41"/>
      <c r="CJ539" s="41"/>
      <c r="CK539" s="41"/>
      <c r="CL539" s="41"/>
      <c r="CM539" s="41"/>
      <c r="CN539" s="41"/>
      <c r="CO539" s="41"/>
      <c r="CP539" s="41"/>
      <c r="CQ539" s="41"/>
      <c r="CR539" s="41"/>
      <c r="CS539" s="41"/>
      <c r="CT539" s="41"/>
      <c r="CU539" s="41"/>
      <c r="CV539" s="41"/>
      <c r="CW539" s="41"/>
      <c r="CX539" s="41"/>
      <c r="CY539" s="41"/>
      <c r="CZ539" s="41"/>
      <c r="DA539" s="41"/>
      <c r="DB539" s="41"/>
      <c r="DC539" s="41"/>
      <c r="DD539" s="41"/>
      <c r="DE539" s="41"/>
      <c r="DF539" s="41"/>
      <c r="DG539" s="41"/>
      <c r="DH539" s="41"/>
      <c r="DI539" s="41"/>
      <c r="DJ539" s="41"/>
      <c r="DK539" s="41"/>
      <c r="DL539" s="41"/>
      <c r="DM539" s="41"/>
      <c r="DN539" s="41"/>
      <c r="DO539" s="41"/>
      <c r="DP539" s="41"/>
      <c r="DQ539" s="41"/>
      <c r="DR539" s="41"/>
      <c r="DS539" s="41"/>
      <c r="DT539" s="41"/>
      <c r="DU539" s="41"/>
      <c r="DV539" s="41"/>
      <c r="DW539" s="41"/>
      <c r="DX539" s="41"/>
    </row>
    <row r="540" spans="1:128" s="75" customFormat="1" ht="15.75" hidden="1" x14ac:dyDescent="0.25">
      <c r="A540" s="86" t="s">
        <v>936</v>
      </c>
      <c r="B540" s="87"/>
      <c r="C540" s="85" t="s">
        <v>12</v>
      </c>
      <c r="D540" s="85" t="s">
        <v>534</v>
      </c>
      <c r="E540" s="178">
        <v>44661.65</v>
      </c>
      <c r="F540" s="178"/>
      <c r="G540" s="198">
        <f t="shared" si="14"/>
        <v>66366971.885750175</v>
      </c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  <c r="BI540" s="41"/>
      <c r="BJ540" s="41"/>
      <c r="BK540" s="41"/>
      <c r="BL540" s="41"/>
      <c r="BM540" s="41"/>
      <c r="BN540" s="41"/>
      <c r="BO540" s="41"/>
      <c r="BP540" s="41"/>
      <c r="BQ540" s="41"/>
      <c r="BR540" s="41"/>
      <c r="BS540" s="41"/>
      <c r="BT540" s="41"/>
      <c r="BU540" s="41"/>
      <c r="BV540" s="41"/>
      <c r="BW540" s="41"/>
      <c r="BX540" s="41"/>
      <c r="BY540" s="41"/>
      <c r="BZ540" s="41"/>
      <c r="CA540" s="41"/>
      <c r="CB540" s="41"/>
      <c r="CC540" s="41"/>
      <c r="CD540" s="41"/>
      <c r="CE540" s="41"/>
      <c r="CF540" s="41"/>
      <c r="CG540" s="41"/>
      <c r="CH540" s="41"/>
      <c r="CI540" s="41"/>
      <c r="CJ540" s="41"/>
      <c r="CK540" s="41"/>
      <c r="CL540" s="41"/>
      <c r="CM540" s="41"/>
      <c r="CN540" s="41"/>
      <c r="CO540" s="41"/>
      <c r="CP540" s="41"/>
      <c r="CQ540" s="41"/>
      <c r="CR540" s="41"/>
      <c r="CS540" s="41"/>
      <c r="CT540" s="41"/>
      <c r="CU540" s="41"/>
      <c r="CV540" s="41"/>
      <c r="CW540" s="41"/>
      <c r="CX540" s="41"/>
      <c r="CY540" s="41"/>
      <c r="CZ540" s="41"/>
      <c r="DA540" s="41"/>
      <c r="DB540" s="41"/>
      <c r="DC540" s="41"/>
      <c r="DD540" s="41"/>
      <c r="DE540" s="41"/>
      <c r="DF540" s="41"/>
      <c r="DG540" s="41"/>
      <c r="DH540" s="41"/>
      <c r="DI540" s="41"/>
      <c r="DJ540" s="41"/>
      <c r="DK540" s="41"/>
      <c r="DL540" s="41"/>
      <c r="DM540" s="41"/>
      <c r="DN540" s="41"/>
      <c r="DO540" s="41"/>
      <c r="DP540" s="41"/>
      <c r="DQ540" s="41"/>
      <c r="DR540" s="41"/>
      <c r="DS540" s="41"/>
      <c r="DT540" s="41"/>
      <c r="DU540" s="41"/>
      <c r="DV540" s="41"/>
      <c r="DW540" s="41"/>
      <c r="DX540" s="41"/>
    </row>
    <row r="541" spans="1:128" s="75" customFormat="1" ht="15.75" hidden="1" x14ac:dyDescent="0.25">
      <c r="A541" s="86" t="s">
        <v>936</v>
      </c>
      <c r="B541" s="87"/>
      <c r="C541" s="85" t="s">
        <v>12</v>
      </c>
      <c r="D541" s="85" t="s">
        <v>973</v>
      </c>
      <c r="E541" s="178">
        <v>456250.18</v>
      </c>
      <c r="F541" s="178"/>
      <c r="G541" s="199">
        <f t="shared" si="14"/>
        <v>66823222.065750174</v>
      </c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  <c r="BJ541" s="41"/>
      <c r="BK541" s="41"/>
      <c r="BL541" s="41"/>
      <c r="BM541" s="41"/>
      <c r="BN541" s="41"/>
      <c r="BO541" s="41"/>
      <c r="BP541" s="41"/>
      <c r="BQ541" s="41"/>
      <c r="BR541" s="41"/>
      <c r="BS541" s="41"/>
      <c r="BT541" s="41"/>
      <c r="BU541" s="41"/>
      <c r="BV541" s="41"/>
      <c r="BW541" s="41"/>
      <c r="BX541" s="41"/>
      <c r="BY541" s="41"/>
      <c r="BZ541" s="41"/>
      <c r="CA541" s="41"/>
      <c r="CB541" s="41"/>
      <c r="CC541" s="41"/>
      <c r="CD541" s="41"/>
      <c r="CE541" s="41"/>
      <c r="CF541" s="41"/>
      <c r="CG541" s="41"/>
      <c r="CH541" s="41"/>
      <c r="CI541" s="41"/>
      <c r="CJ541" s="41"/>
      <c r="CK541" s="41"/>
      <c r="CL541" s="41"/>
      <c r="CM541" s="41"/>
      <c r="CN541" s="41"/>
      <c r="CO541" s="41"/>
      <c r="CP541" s="41"/>
      <c r="CQ541" s="41"/>
      <c r="CR541" s="41"/>
      <c r="CS541" s="41"/>
      <c r="CT541" s="41"/>
      <c r="CU541" s="41"/>
      <c r="CV541" s="41"/>
      <c r="CW541" s="41"/>
      <c r="CX541" s="41"/>
      <c r="CY541" s="41"/>
      <c r="CZ541" s="41"/>
      <c r="DA541" s="41"/>
      <c r="DB541" s="41"/>
      <c r="DC541" s="41"/>
      <c r="DD541" s="41"/>
      <c r="DE541" s="41"/>
      <c r="DF541" s="41"/>
      <c r="DG541" s="41"/>
      <c r="DH541" s="41"/>
      <c r="DI541" s="41"/>
      <c r="DJ541" s="41"/>
      <c r="DK541" s="41"/>
      <c r="DL541" s="41"/>
      <c r="DM541" s="41"/>
      <c r="DN541" s="41"/>
      <c r="DO541" s="41"/>
      <c r="DP541" s="41"/>
      <c r="DQ541" s="41"/>
      <c r="DR541" s="41"/>
      <c r="DS541" s="41"/>
      <c r="DT541" s="41"/>
      <c r="DU541" s="41"/>
      <c r="DV541" s="41"/>
      <c r="DW541" s="41"/>
      <c r="DX541" s="41"/>
    </row>
    <row r="542" spans="1:128" s="75" customFormat="1" hidden="1" thickBot="1" x14ac:dyDescent="0.3">
      <c r="A542" s="45"/>
      <c r="B542" s="71"/>
      <c r="C542" s="51"/>
      <c r="D542" s="51"/>
      <c r="E542" s="118">
        <f>SUM(E536:E541)</f>
        <v>521126.67</v>
      </c>
      <c r="F542" s="118">
        <f>SUM(F530:F541)</f>
        <v>5273180.5959999999</v>
      </c>
      <c r="G542" s="9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  <c r="BI542" s="41"/>
      <c r="BJ542" s="41"/>
      <c r="BK542" s="41"/>
      <c r="BL542" s="41"/>
      <c r="BM542" s="41"/>
      <c r="BN542" s="41"/>
      <c r="BO542" s="41"/>
      <c r="BP542" s="41"/>
      <c r="BQ542" s="41"/>
      <c r="BR542" s="41"/>
      <c r="BS542" s="41"/>
      <c r="BT542" s="41"/>
      <c r="BU542" s="41"/>
      <c r="BV542" s="41"/>
      <c r="BW542" s="41"/>
      <c r="BX542" s="41"/>
      <c r="BY542" s="41"/>
      <c r="BZ542" s="41"/>
      <c r="CA542" s="41"/>
      <c r="CB542" s="41"/>
      <c r="CC542" s="41"/>
      <c r="CD542" s="41"/>
      <c r="CE542" s="41"/>
      <c r="CF542" s="41"/>
      <c r="CG542" s="41"/>
      <c r="CH542" s="41"/>
      <c r="CI542" s="41"/>
      <c r="CJ542" s="41"/>
      <c r="CK542" s="41"/>
      <c r="CL542" s="41"/>
      <c r="CM542" s="41"/>
      <c r="CN542" s="41"/>
      <c r="CO542" s="41"/>
      <c r="CP542" s="41"/>
      <c r="CQ542" s="41"/>
      <c r="CR542" s="41"/>
      <c r="CS542" s="41"/>
      <c r="CT542" s="41"/>
      <c r="CU542" s="41"/>
      <c r="CV542" s="41"/>
      <c r="CW542" s="41"/>
      <c r="CX542" s="41"/>
      <c r="CY542" s="41"/>
      <c r="CZ542" s="41"/>
      <c r="DA542" s="41"/>
      <c r="DB542" s="41"/>
      <c r="DC542" s="41"/>
      <c r="DD542" s="41"/>
      <c r="DE542" s="41"/>
      <c r="DF542" s="41"/>
      <c r="DG542" s="41"/>
      <c r="DH542" s="41"/>
      <c r="DI542" s="41"/>
      <c r="DJ542" s="41"/>
      <c r="DK542" s="41"/>
      <c r="DL542" s="41"/>
      <c r="DM542" s="41"/>
      <c r="DN542" s="41"/>
      <c r="DO542" s="41"/>
      <c r="DP542" s="41"/>
      <c r="DQ542" s="41"/>
      <c r="DR542" s="41"/>
      <c r="DS542" s="41"/>
      <c r="DT542" s="41"/>
      <c r="DU542" s="41"/>
      <c r="DV542" s="41"/>
      <c r="DW542" s="41"/>
      <c r="DX542" s="41"/>
    </row>
    <row r="543" spans="1:128" s="75" customFormat="1" hidden="1" thickTop="1" x14ac:dyDescent="0.25">
      <c r="A543" s="45"/>
      <c r="B543" s="71"/>
      <c r="C543" s="51"/>
      <c r="D543" s="51"/>
      <c r="E543" s="88"/>
      <c r="F543" s="88"/>
      <c r="G543" s="9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  <c r="BJ543" s="41"/>
      <c r="BK543" s="41"/>
      <c r="BL543" s="41"/>
      <c r="BM543" s="41"/>
      <c r="BN543" s="41"/>
      <c r="BO543" s="41"/>
      <c r="BP543" s="41"/>
      <c r="BQ543" s="41"/>
      <c r="BR543" s="41"/>
      <c r="BS543" s="41"/>
      <c r="BT543" s="41"/>
      <c r="BU543" s="41"/>
      <c r="BV543" s="41"/>
      <c r="BW543" s="41"/>
      <c r="BX543" s="41"/>
      <c r="BY543" s="41"/>
      <c r="BZ543" s="41"/>
      <c r="CA543" s="41"/>
      <c r="CB543" s="41"/>
      <c r="CC543" s="41"/>
      <c r="CD543" s="41"/>
      <c r="CE543" s="41"/>
      <c r="CF543" s="41"/>
      <c r="CG543" s="41"/>
      <c r="CH543" s="41"/>
      <c r="CI543" s="41"/>
      <c r="CJ543" s="41"/>
      <c r="CK543" s="41"/>
      <c r="CL543" s="41"/>
      <c r="CM543" s="41"/>
      <c r="CN543" s="41"/>
      <c r="CO543" s="41"/>
      <c r="CP543" s="41"/>
      <c r="CQ543" s="41"/>
      <c r="CR543" s="41"/>
      <c r="CS543" s="41"/>
      <c r="CT543" s="41"/>
      <c r="CU543" s="41"/>
      <c r="CV543" s="41"/>
      <c r="CW543" s="41"/>
      <c r="CX543" s="41"/>
      <c r="CY543" s="41"/>
      <c r="CZ543" s="41"/>
      <c r="DA543" s="41"/>
      <c r="DB543" s="41"/>
      <c r="DC543" s="41"/>
      <c r="DD543" s="41"/>
      <c r="DE543" s="41"/>
      <c r="DF543" s="41"/>
      <c r="DG543" s="41"/>
      <c r="DH543" s="41"/>
      <c r="DI543" s="41"/>
      <c r="DJ543" s="41"/>
      <c r="DK543" s="41"/>
      <c r="DL543" s="41"/>
      <c r="DM543" s="41"/>
      <c r="DN543" s="41"/>
      <c r="DO543" s="41"/>
      <c r="DP543" s="41"/>
      <c r="DQ543" s="41"/>
      <c r="DR543" s="41"/>
      <c r="DS543" s="41"/>
      <c r="DT543" s="41"/>
      <c r="DU543" s="41"/>
      <c r="DV543" s="41"/>
      <c r="DW543" s="41"/>
      <c r="DX543" s="41"/>
    </row>
    <row r="544" spans="1:128" s="75" customFormat="1" ht="15.75" hidden="1" x14ac:dyDescent="0.25">
      <c r="A544" s="45"/>
      <c r="B544" s="71"/>
      <c r="C544" s="51"/>
      <c r="D544" s="51"/>
      <c r="E544" s="88"/>
      <c r="F544" s="88"/>
      <c r="G544" s="9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  <c r="BJ544" s="41"/>
      <c r="BK544" s="41"/>
      <c r="BL544" s="41"/>
      <c r="BM544" s="41"/>
      <c r="BN544" s="41"/>
      <c r="BO544" s="41"/>
      <c r="BP544" s="41"/>
      <c r="BQ544" s="41"/>
      <c r="BR544" s="41"/>
      <c r="BS544" s="41"/>
      <c r="BT544" s="41"/>
      <c r="BU544" s="41"/>
      <c r="BV544" s="41"/>
      <c r="BW544" s="41"/>
      <c r="BX544" s="41"/>
      <c r="BY544" s="41"/>
      <c r="BZ544" s="41"/>
      <c r="CA544" s="41"/>
      <c r="CB544" s="41"/>
      <c r="CC544" s="41"/>
      <c r="CD544" s="41"/>
      <c r="CE544" s="41"/>
      <c r="CF544" s="41"/>
      <c r="CG544" s="41"/>
      <c r="CH544" s="41"/>
      <c r="CI544" s="41"/>
      <c r="CJ544" s="41"/>
      <c r="CK544" s="41"/>
      <c r="CL544" s="41"/>
      <c r="CM544" s="41"/>
      <c r="CN544" s="41"/>
      <c r="CO544" s="41"/>
      <c r="CP544" s="41"/>
      <c r="CQ544" s="41"/>
      <c r="CR544" s="41"/>
      <c r="CS544" s="41"/>
      <c r="CT544" s="41"/>
      <c r="CU544" s="41"/>
      <c r="CV544" s="41"/>
      <c r="CW544" s="41"/>
      <c r="CX544" s="41"/>
      <c r="CY544" s="41"/>
      <c r="CZ544" s="41"/>
      <c r="DA544" s="41"/>
      <c r="DB544" s="41"/>
      <c r="DC544" s="41"/>
      <c r="DD544" s="41"/>
      <c r="DE544" s="41"/>
      <c r="DF544" s="41"/>
      <c r="DG544" s="41"/>
      <c r="DH544" s="41"/>
      <c r="DI544" s="41"/>
      <c r="DJ544" s="41"/>
      <c r="DK544" s="41"/>
      <c r="DL544" s="41"/>
      <c r="DM544" s="41"/>
      <c r="DN544" s="41"/>
      <c r="DO544" s="41"/>
      <c r="DP544" s="41"/>
      <c r="DQ544" s="41"/>
      <c r="DR544" s="41"/>
      <c r="DS544" s="41"/>
      <c r="DT544" s="41"/>
      <c r="DU544" s="41"/>
      <c r="DV544" s="41"/>
      <c r="DW544" s="41"/>
      <c r="DX544" s="41"/>
    </row>
    <row r="545" spans="1:142" s="75" customFormat="1" ht="15.75" hidden="1" x14ac:dyDescent="0.25">
      <c r="A545" s="45"/>
      <c r="B545" s="71"/>
      <c r="C545" s="51"/>
      <c r="D545" s="51"/>
      <c r="E545" s="88"/>
      <c r="F545" s="88"/>
      <c r="G545" s="9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  <c r="BJ545" s="41"/>
      <c r="BK545" s="41"/>
      <c r="BL545" s="41"/>
      <c r="BM545" s="41"/>
      <c r="BN545" s="41"/>
      <c r="BO545" s="41"/>
      <c r="BP545" s="41"/>
      <c r="BQ545" s="41"/>
      <c r="BR545" s="41"/>
      <c r="BS545" s="41"/>
      <c r="BT545" s="41"/>
      <c r="BU545" s="41"/>
      <c r="BV545" s="41"/>
      <c r="BW545" s="41"/>
      <c r="BX545" s="41"/>
      <c r="BY545" s="41"/>
      <c r="BZ545" s="41"/>
      <c r="CA545" s="41"/>
      <c r="CB545" s="41"/>
      <c r="CC545" s="41"/>
      <c r="CD545" s="41"/>
      <c r="CE545" s="41"/>
      <c r="CF545" s="41"/>
      <c r="CG545" s="41"/>
      <c r="CH545" s="41"/>
      <c r="CI545" s="41"/>
      <c r="CJ545" s="41"/>
      <c r="CK545" s="41"/>
      <c r="CL545" s="41"/>
      <c r="CM545" s="41"/>
      <c r="CN545" s="41"/>
      <c r="CO545" s="41"/>
      <c r="CP545" s="41"/>
      <c r="CQ545" s="41"/>
      <c r="CR545" s="41"/>
      <c r="CS545" s="41"/>
      <c r="CT545" s="41"/>
      <c r="CU545" s="41"/>
      <c r="CV545" s="41"/>
      <c r="CW545" s="41"/>
      <c r="CX545" s="41"/>
      <c r="CY545" s="41"/>
      <c r="CZ545" s="41"/>
      <c r="DA545" s="41"/>
      <c r="DB545" s="41"/>
      <c r="DC545" s="41"/>
      <c r="DD545" s="41"/>
      <c r="DE545" s="41"/>
      <c r="DF545" s="41"/>
      <c r="DG545" s="41"/>
      <c r="DH545" s="41"/>
      <c r="DI545" s="41"/>
      <c r="DJ545" s="41"/>
      <c r="DK545" s="41"/>
      <c r="DL545" s="41"/>
      <c r="DM545" s="41"/>
      <c r="DN545" s="41"/>
      <c r="DO545" s="41"/>
      <c r="DP545" s="41"/>
      <c r="DQ545" s="41"/>
      <c r="DR545" s="41"/>
      <c r="DS545" s="41"/>
      <c r="DT545" s="41"/>
      <c r="DU545" s="41"/>
      <c r="DV545" s="41"/>
      <c r="DW545" s="41"/>
      <c r="DX545" s="41"/>
    </row>
    <row r="546" spans="1:142" s="75" customFormat="1" ht="15.75" hidden="1" x14ac:dyDescent="0.25">
      <c r="A546" s="86">
        <v>44565</v>
      </c>
      <c r="B546" s="87"/>
      <c r="C546" s="85" t="s">
        <v>13</v>
      </c>
      <c r="D546" s="85" t="s">
        <v>22</v>
      </c>
      <c r="E546" s="178">
        <v>36858</v>
      </c>
      <c r="F546" s="90"/>
      <c r="G546" s="199">
        <f>G541+E546-F546</f>
        <v>66860080.065750174</v>
      </c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  <c r="BI546" s="41"/>
      <c r="BJ546" s="41"/>
      <c r="BK546" s="41"/>
      <c r="BL546" s="41"/>
      <c r="BM546" s="41"/>
      <c r="BN546" s="41"/>
      <c r="BO546" s="41"/>
      <c r="BP546" s="41"/>
      <c r="BQ546" s="41"/>
      <c r="BR546" s="41"/>
      <c r="BS546" s="41"/>
      <c r="BT546" s="41"/>
      <c r="BU546" s="41"/>
      <c r="BV546" s="41"/>
      <c r="BW546" s="41"/>
      <c r="BX546" s="41"/>
      <c r="BY546" s="41"/>
      <c r="BZ546" s="41"/>
      <c r="CA546" s="41"/>
      <c r="CB546" s="41"/>
      <c r="CC546" s="41"/>
      <c r="CD546" s="41"/>
      <c r="CE546" s="41"/>
      <c r="CF546" s="41"/>
      <c r="CG546" s="41"/>
      <c r="CH546" s="41"/>
      <c r="CI546" s="41"/>
      <c r="CJ546" s="41"/>
      <c r="CK546" s="41"/>
      <c r="CL546" s="41"/>
      <c r="CM546" s="41"/>
      <c r="CN546" s="41"/>
      <c r="CO546" s="41"/>
      <c r="CP546" s="41"/>
      <c r="CQ546" s="41"/>
      <c r="CR546" s="41"/>
      <c r="CS546" s="41"/>
      <c r="CT546" s="41"/>
      <c r="CU546" s="41"/>
      <c r="CV546" s="41"/>
      <c r="CW546" s="41"/>
      <c r="CX546" s="41"/>
      <c r="CY546" s="41"/>
      <c r="CZ546" s="41"/>
      <c r="DA546" s="41"/>
      <c r="DB546" s="41"/>
      <c r="DC546" s="41"/>
      <c r="DD546" s="41"/>
      <c r="DE546" s="41"/>
      <c r="DF546" s="41"/>
      <c r="DG546" s="41"/>
      <c r="DH546" s="41"/>
      <c r="DI546" s="41"/>
      <c r="DJ546" s="41"/>
      <c r="DK546" s="41"/>
      <c r="DL546" s="41"/>
      <c r="DM546" s="41"/>
      <c r="DN546" s="41"/>
      <c r="DO546" s="41"/>
      <c r="DP546" s="41"/>
      <c r="DQ546" s="41"/>
      <c r="DR546" s="41"/>
      <c r="DS546" s="41"/>
      <c r="DT546" s="41"/>
      <c r="DU546" s="41"/>
      <c r="DV546" s="41"/>
      <c r="DW546" s="41"/>
      <c r="DX546" s="41"/>
    </row>
    <row r="547" spans="1:142" s="75" customFormat="1" ht="15.75" hidden="1" x14ac:dyDescent="0.25">
      <c r="A547" s="86">
        <v>44565</v>
      </c>
      <c r="B547" s="87"/>
      <c r="C547" s="85" t="s">
        <v>13</v>
      </c>
      <c r="D547" s="85" t="s">
        <v>48</v>
      </c>
      <c r="E547" s="178">
        <v>447.54</v>
      </c>
      <c r="F547" s="178">
        <f>E547*0.025</f>
        <v>11.188500000000001</v>
      </c>
      <c r="G547" s="198">
        <f>G546+E547-F547</f>
        <v>66860516.417250171</v>
      </c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  <c r="BJ547" s="41"/>
      <c r="BK547" s="41"/>
      <c r="BL547" s="41"/>
      <c r="BM547" s="41"/>
      <c r="BN547" s="41"/>
      <c r="BO547" s="41"/>
      <c r="BP547" s="41"/>
      <c r="BQ547" s="41"/>
      <c r="BR547" s="41"/>
      <c r="BS547" s="41"/>
      <c r="BT547" s="41"/>
      <c r="BU547" s="41"/>
      <c r="BV547" s="41"/>
      <c r="BW547" s="41"/>
      <c r="BX547" s="41"/>
      <c r="BY547" s="41"/>
      <c r="BZ547" s="41"/>
      <c r="CA547" s="41"/>
      <c r="CB547" s="41"/>
      <c r="CC547" s="41"/>
      <c r="CD547" s="41"/>
      <c r="CE547" s="41"/>
      <c r="CF547" s="41"/>
      <c r="CG547" s="41"/>
      <c r="CH547" s="41"/>
      <c r="CI547" s="41"/>
      <c r="CJ547" s="41"/>
      <c r="CK547" s="41"/>
      <c r="CL547" s="41"/>
      <c r="CM547" s="41"/>
      <c r="CN547" s="41"/>
      <c r="CO547" s="41"/>
      <c r="CP547" s="41"/>
      <c r="CQ547" s="41"/>
      <c r="CR547" s="41"/>
      <c r="CS547" s="41"/>
      <c r="CT547" s="41"/>
      <c r="CU547" s="41"/>
      <c r="CV547" s="41"/>
      <c r="CW547" s="41"/>
      <c r="CX547" s="41"/>
      <c r="CY547" s="41"/>
      <c r="CZ547" s="41"/>
      <c r="DA547" s="41"/>
      <c r="DB547" s="41"/>
      <c r="DC547" s="41"/>
      <c r="DD547" s="41"/>
      <c r="DE547" s="41"/>
      <c r="DF547" s="41"/>
      <c r="DG547" s="41"/>
      <c r="DH547" s="41"/>
      <c r="DI547" s="41"/>
      <c r="DJ547" s="41"/>
      <c r="DK547" s="41"/>
      <c r="DL547" s="41"/>
      <c r="DM547" s="41"/>
      <c r="DN547" s="41"/>
      <c r="DO547" s="41"/>
      <c r="DP547" s="41"/>
      <c r="DQ547" s="41"/>
      <c r="DR547" s="41"/>
      <c r="DS547" s="41"/>
      <c r="DT547" s="41"/>
      <c r="DU547" s="41"/>
      <c r="DV547" s="41"/>
      <c r="DW547" s="41"/>
      <c r="DX547" s="41"/>
    </row>
    <row r="548" spans="1:142" s="75" customFormat="1" ht="15.75" hidden="1" x14ac:dyDescent="0.25">
      <c r="A548" s="86">
        <v>44565</v>
      </c>
      <c r="B548" s="87"/>
      <c r="C548" s="85" t="s">
        <v>13</v>
      </c>
      <c r="D548" s="85" t="s">
        <v>48</v>
      </c>
      <c r="E548" s="178">
        <v>700</v>
      </c>
      <c r="F548" s="178">
        <f>E548*0.025</f>
        <v>17.5</v>
      </c>
      <c r="G548" s="198">
        <f t="shared" ref="G548:G612" si="15">G547+E548-F548</f>
        <v>66861198.917250171</v>
      </c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  <c r="BJ548" s="41"/>
      <c r="BK548" s="41"/>
      <c r="BL548" s="41"/>
      <c r="BM548" s="41"/>
      <c r="BN548" s="41"/>
      <c r="BO548" s="41"/>
      <c r="BP548" s="41"/>
      <c r="BQ548" s="41"/>
      <c r="BR548" s="41"/>
      <c r="BS548" s="41"/>
      <c r="BT548" s="41"/>
      <c r="BU548" s="41"/>
      <c r="BV548" s="41"/>
      <c r="BW548" s="41"/>
      <c r="BX548" s="41"/>
      <c r="BY548" s="41"/>
      <c r="BZ548" s="41"/>
      <c r="CA548" s="41"/>
      <c r="CB548" s="41"/>
      <c r="CC548" s="41"/>
      <c r="CD548" s="41"/>
      <c r="CE548" s="41"/>
      <c r="CF548" s="41"/>
      <c r="CG548" s="41"/>
      <c r="CH548" s="41"/>
      <c r="CI548" s="41"/>
      <c r="CJ548" s="41"/>
      <c r="CK548" s="41"/>
      <c r="CL548" s="41"/>
      <c r="CM548" s="41"/>
      <c r="CN548" s="41"/>
      <c r="CO548" s="41"/>
      <c r="CP548" s="41"/>
      <c r="CQ548" s="41"/>
      <c r="CR548" s="41"/>
      <c r="CS548" s="41"/>
      <c r="CT548" s="41"/>
      <c r="CU548" s="41"/>
      <c r="CV548" s="41"/>
      <c r="CW548" s="41"/>
      <c r="CX548" s="41"/>
      <c r="CY548" s="41"/>
      <c r="CZ548" s="41"/>
      <c r="DA548" s="41"/>
      <c r="DB548" s="41"/>
      <c r="DC548" s="41"/>
      <c r="DD548" s="41"/>
      <c r="DE548" s="41"/>
      <c r="DF548" s="41"/>
      <c r="DG548" s="41"/>
      <c r="DH548" s="41"/>
      <c r="DI548" s="41"/>
      <c r="DJ548" s="41"/>
      <c r="DK548" s="41"/>
      <c r="DL548" s="41"/>
      <c r="DM548" s="41"/>
      <c r="DN548" s="41"/>
      <c r="DO548" s="41"/>
      <c r="DP548" s="41"/>
      <c r="DQ548" s="41"/>
      <c r="DR548" s="41"/>
      <c r="DS548" s="41"/>
      <c r="DT548" s="41"/>
      <c r="DU548" s="41"/>
      <c r="DV548" s="41"/>
      <c r="DW548" s="41"/>
      <c r="DX548" s="41"/>
    </row>
    <row r="549" spans="1:142" s="75" customFormat="1" ht="15.75" hidden="1" x14ac:dyDescent="0.25">
      <c r="A549" s="86">
        <v>44565</v>
      </c>
      <c r="B549" s="87"/>
      <c r="C549" s="85" t="s">
        <v>13</v>
      </c>
      <c r="D549" s="85" t="s">
        <v>48</v>
      </c>
      <c r="E549" s="178">
        <v>500</v>
      </c>
      <c r="F549" s="178">
        <f>E549*0.025</f>
        <v>12.5</v>
      </c>
      <c r="G549" s="198">
        <f t="shared" si="15"/>
        <v>66861686.417250171</v>
      </c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  <c r="BJ549" s="41"/>
      <c r="BK549" s="41"/>
      <c r="BL549" s="41"/>
      <c r="BM549" s="41"/>
      <c r="BN549" s="41"/>
      <c r="BO549" s="41"/>
      <c r="BP549" s="41"/>
      <c r="BQ549" s="41"/>
      <c r="BR549" s="41"/>
      <c r="BS549" s="41"/>
      <c r="BT549" s="41"/>
      <c r="BU549" s="41"/>
      <c r="BV549" s="41"/>
      <c r="BW549" s="41"/>
      <c r="BX549" s="41"/>
      <c r="BY549" s="41"/>
      <c r="BZ549" s="41"/>
      <c r="CA549" s="41"/>
      <c r="CB549" s="41"/>
      <c r="CC549" s="41"/>
      <c r="CD549" s="41"/>
      <c r="CE549" s="41"/>
      <c r="CF549" s="41"/>
      <c r="CG549" s="41"/>
      <c r="CH549" s="41"/>
      <c r="CI549" s="41"/>
      <c r="CJ549" s="41"/>
      <c r="CK549" s="41"/>
      <c r="CL549" s="41"/>
      <c r="CM549" s="41"/>
      <c r="CN549" s="41"/>
      <c r="CO549" s="41"/>
      <c r="CP549" s="41"/>
      <c r="CQ549" s="41"/>
      <c r="CR549" s="41"/>
      <c r="CS549" s="41"/>
      <c r="CT549" s="41"/>
      <c r="CU549" s="41"/>
      <c r="CV549" s="41"/>
      <c r="CW549" s="41"/>
      <c r="CX549" s="41"/>
      <c r="CY549" s="41"/>
      <c r="CZ549" s="41"/>
      <c r="DA549" s="41"/>
      <c r="DB549" s="41"/>
      <c r="DC549" s="41"/>
      <c r="DD549" s="41"/>
      <c r="DE549" s="41"/>
      <c r="DF549" s="41"/>
      <c r="DG549" s="41"/>
      <c r="DH549" s="41"/>
      <c r="DI549" s="41"/>
      <c r="DJ549" s="41"/>
      <c r="DK549" s="41"/>
      <c r="DL549" s="41"/>
      <c r="DM549" s="41"/>
      <c r="DN549" s="41"/>
      <c r="DO549" s="41"/>
      <c r="DP549" s="41"/>
      <c r="DQ549" s="41"/>
      <c r="DR549" s="41"/>
      <c r="DS549" s="41"/>
      <c r="DT549" s="41"/>
      <c r="DU549" s="41"/>
      <c r="DV549" s="41"/>
      <c r="DW549" s="41"/>
      <c r="DX549" s="41"/>
    </row>
    <row r="550" spans="1:142" s="75" customFormat="1" ht="31.5" hidden="1" x14ac:dyDescent="0.25">
      <c r="A550" s="86">
        <v>44565</v>
      </c>
      <c r="B550" s="87" t="s">
        <v>982</v>
      </c>
      <c r="C550" s="85" t="s">
        <v>965</v>
      </c>
      <c r="D550" s="85" t="s">
        <v>983</v>
      </c>
      <c r="E550" s="178"/>
      <c r="F550" s="178">
        <v>460388.38</v>
      </c>
      <c r="G550" s="199">
        <f t="shared" si="15"/>
        <v>66401298.037250169</v>
      </c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  <c r="BJ550" s="41"/>
      <c r="BK550" s="41"/>
      <c r="BL550" s="41"/>
      <c r="BM550" s="41"/>
      <c r="BN550" s="41"/>
      <c r="BO550" s="41"/>
      <c r="BP550" s="41"/>
      <c r="BQ550" s="41"/>
      <c r="BR550" s="41"/>
      <c r="BS550" s="41"/>
      <c r="BT550" s="41"/>
      <c r="BU550" s="41"/>
      <c r="BV550" s="41"/>
      <c r="BW550" s="41"/>
      <c r="BX550" s="41"/>
      <c r="BY550" s="41"/>
      <c r="BZ550" s="41"/>
      <c r="CA550" s="41"/>
      <c r="CB550" s="41"/>
      <c r="CC550" s="41"/>
      <c r="CD550" s="41"/>
      <c r="CE550" s="41"/>
      <c r="CF550" s="41"/>
      <c r="CG550" s="41"/>
      <c r="CH550" s="41"/>
      <c r="CI550" s="41"/>
      <c r="CJ550" s="41"/>
      <c r="CK550" s="41"/>
      <c r="CL550" s="41"/>
      <c r="CM550" s="41"/>
      <c r="CN550" s="41"/>
      <c r="CO550" s="41"/>
      <c r="CP550" s="41"/>
      <c r="CQ550" s="41"/>
      <c r="CR550" s="41"/>
      <c r="CS550" s="41"/>
      <c r="CT550" s="41"/>
      <c r="CU550" s="41"/>
      <c r="CV550" s="41"/>
      <c r="CW550" s="41"/>
      <c r="CX550" s="41"/>
      <c r="CY550" s="41"/>
      <c r="CZ550" s="41"/>
      <c r="DA550" s="41"/>
      <c r="DB550" s="41"/>
      <c r="DC550" s="41"/>
      <c r="DD550" s="41"/>
      <c r="DE550" s="41"/>
      <c r="DF550" s="41"/>
      <c r="DG550" s="41"/>
      <c r="DH550" s="41"/>
      <c r="DI550" s="41"/>
      <c r="DJ550" s="41"/>
      <c r="DK550" s="41"/>
      <c r="DL550" s="41"/>
      <c r="DM550" s="41"/>
      <c r="DN550" s="41"/>
      <c r="DO550" s="41"/>
      <c r="DP550" s="41"/>
      <c r="DQ550" s="41"/>
      <c r="DR550" s="41"/>
      <c r="DS550" s="41"/>
      <c r="DT550" s="41"/>
      <c r="DU550" s="41"/>
      <c r="DV550" s="41"/>
      <c r="DW550" s="41"/>
      <c r="DX550" s="41"/>
    </row>
    <row r="551" spans="1:142" s="75" customFormat="1" ht="31.5" hidden="1" x14ac:dyDescent="0.25">
      <c r="A551" s="86">
        <v>44655</v>
      </c>
      <c r="B551" s="87" t="s">
        <v>984</v>
      </c>
      <c r="C551" s="85" t="s">
        <v>985</v>
      </c>
      <c r="D551" s="85" t="s">
        <v>986</v>
      </c>
      <c r="E551" s="178"/>
      <c r="F551" s="178">
        <v>13965</v>
      </c>
      <c r="G551" s="198">
        <f t="shared" si="15"/>
        <v>66387333.037250169</v>
      </c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  <c r="BL551" s="41"/>
      <c r="BM551" s="41"/>
      <c r="BN551" s="41"/>
      <c r="BO551" s="41"/>
      <c r="BP551" s="41"/>
      <c r="BQ551" s="41"/>
      <c r="BR551" s="41"/>
      <c r="BS551" s="41"/>
      <c r="BT551" s="41"/>
      <c r="BU551" s="41"/>
      <c r="BV551" s="41"/>
      <c r="BW551" s="41"/>
      <c r="BX551" s="41"/>
      <c r="BY551" s="41"/>
      <c r="BZ551" s="41"/>
      <c r="CA551" s="41"/>
      <c r="CB551" s="41"/>
      <c r="CC551" s="41"/>
      <c r="CD551" s="41"/>
      <c r="CE551" s="41"/>
      <c r="CF551" s="41"/>
      <c r="CG551" s="41"/>
      <c r="CH551" s="41"/>
      <c r="CI551" s="41"/>
      <c r="CJ551" s="41"/>
      <c r="CK551" s="41"/>
      <c r="CL551" s="41"/>
      <c r="CM551" s="41"/>
      <c r="CN551" s="41"/>
      <c r="CO551" s="41"/>
      <c r="CP551" s="41"/>
      <c r="CQ551" s="41"/>
      <c r="CR551" s="41"/>
      <c r="CS551" s="41"/>
      <c r="CT551" s="41"/>
      <c r="CU551" s="41"/>
      <c r="CV551" s="41"/>
      <c r="CW551" s="41"/>
      <c r="CX551" s="41"/>
      <c r="CY551" s="41"/>
      <c r="CZ551" s="41"/>
      <c r="DA551" s="41"/>
      <c r="DB551" s="41"/>
      <c r="DC551" s="41"/>
      <c r="DD551" s="41"/>
      <c r="DE551" s="41"/>
      <c r="DF551" s="41"/>
      <c r="DG551" s="41"/>
      <c r="DH551" s="41"/>
      <c r="DI551" s="41"/>
      <c r="DJ551" s="41"/>
      <c r="DK551" s="41"/>
      <c r="DL551" s="41"/>
      <c r="DM551" s="41"/>
      <c r="DN551" s="41"/>
      <c r="DO551" s="41"/>
      <c r="DP551" s="41"/>
      <c r="DQ551" s="41"/>
      <c r="DR551" s="41"/>
      <c r="DS551" s="41"/>
      <c r="DT551" s="41"/>
      <c r="DU551" s="41"/>
      <c r="DV551" s="41"/>
      <c r="DW551" s="41"/>
      <c r="DX551" s="41"/>
    </row>
    <row r="552" spans="1:142" s="75" customFormat="1" ht="31.5" hidden="1" x14ac:dyDescent="0.25">
      <c r="A552" s="86">
        <v>44655</v>
      </c>
      <c r="B552" s="87" t="s">
        <v>987</v>
      </c>
      <c r="C552" s="85" t="s">
        <v>988</v>
      </c>
      <c r="D552" s="85" t="s">
        <v>989</v>
      </c>
      <c r="E552" s="178"/>
      <c r="F552" s="178">
        <v>731690</v>
      </c>
      <c r="G552" s="198">
        <f t="shared" si="15"/>
        <v>65655643.037250169</v>
      </c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  <c r="BJ552" s="41"/>
      <c r="BK552" s="41"/>
      <c r="BL552" s="41"/>
      <c r="BM552" s="41"/>
      <c r="BN552" s="41"/>
      <c r="BO552" s="41"/>
      <c r="BP552" s="41"/>
      <c r="BQ552" s="41"/>
      <c r="BR552" s="41"/>
      <c r="BS552" s="41"/>
      <c r="BT552" s="41"/>
      <c r="BU552" s="41"/>
      <c r="BV552" s="41"/>
      <c r="BW552" s="41"/>
      <c r="BX552" s="41"/>
      <c r="BY552" s="41"/>
      <c r="BZ552" s="41"/>
      <c r="CA552" s="41"/>
      <c r="CB552" s="41"/>
      <c r="CC552" s="41"/>
      <c r="CD552" s="41"/>
      <c r="CE552" s="41"/>
      <c r="CF552" s="41"/>
      <c r="CG552" s="41"/>
      <c r="CH552" s="41"/>
      <c r="CI552" s="41"/>
      <c r="CJ552" s="41"/>
      <c r="CK552" s="41"/>
      <c r="CL552" s="41"/>
      <c r="CM552" s="41"/>
      <c r="CN552" s="41"/>
      <c r="CO552" s="41"/>
      <c r="CP552" s="41"/>
      <c r="CQ552" s="41"/>
      <c r="CR552" s="41"/>
      <c r="CS552" s="41"/>
      <c r="CT552" s="41"/>
      <c r="CU552" s="41"/>
      <c r="CV552" s="41"/>
      <c r="CW552" s="41"/>
      <c r="CX552" s="41"/>
      <c r="CY552" s="41"/>
      <c r="CZ552" s="41"/>
      <c r="DA552" s="41"/>
      <c r="DB552" s="41"/>
      <c r="DC552" s="41"/>
      <c r="DD552" s="41"/>
      <c r="DE552" s="41"/>
      <c r="DF552" s="41"/>
      <c r="DG552" s="41"/>
      <c r="DH552" s="41"/>
      <c r="DI552" s="41"/>
      <c r="DJ552" s="41"/>
      <c r="DK552" s="41"/>
      <c r="DL552" s="41"/>
      <c r="DM552" s="41"/>
      <c r="DN552" s="41"/>
      <c r="DO552" s="41"/>
      <c r="DP552" s="41"/>
      <c r="DQ552" s="41"/>
      <c r="DR552" s="41"/>
      <c r="DS552" s="41"/>
      <c r="DT552" s="41"/>
      <c r="DU552" s="41"/>
      <c r="DV552" s="41"/>
      <c r="DW552" s="41"/>
      <c r="DX552" s="41"/>
    </row>
    <row r="553" spans="1:142" s="75" customFormat="1" ht="15.75" hidden="1" x14ac:dyDescent="0.25">
      <c r="A553" s="86">
        <v>44655</v>
      </c>
      <c r="B553" s="87"/>
      <c r="C553" s="85" t="s">
        <v>13</v>
      </c>
      <c r="D553" s="85" t="s">
        <v>22</v>
      </c>
      <c r="E553" s="178">
        <v>28595</v>
      </c>
      <c r="F553" s="178"/>
      <c r="G553" s="198">
        <f t="shared" si="15"/>
        <v>65684238.037250169</v>
      </c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  <c r="BI553" s="41"/>
      <c r="BJ553" s="41"/>
      <c r="BK553" s="41"/>
      <c r="BL553" s="41"/>
      <c r="BM553" s="41"/>
      <c r="BN553" s="41"/>
      <c r="BO553" s="41"/>
      <c r="BP553" s="41"/>
      <c r="BQ553" s="41"/>
      <c r="BR553" s="41"/>
      <c r="BS553" s="41"/>
      <c r="BT553" s="41"/>
      <c r="BU553" s="41"/>
      <c r="BV553" s="41"/>
      <c r="BW553" s="41"/>
      <c r="BX553" s="41"/>
      <c r="BY553" s="41"/>
      <c r="BZ553" s="41"/>
      <c r="CA553" s="41"/>
      <c r="CB553" s="41"/>
      <c r="CC553" s="41"/>
      <c r="CD553" s="41"/>
      <c r="CE553" s="41"/>
      <c r="CF553" s="41"/>
      <c r="CG553" s="41"/>
      <c r="CH553" s="41"/>
      <c r="CI553" s="41"/>
      <c r="CJ553" s="41"/>
      <c r="CK553" s="41"/>
      <c r="CL553" s="41"/>
      <c r="CM553" s="41"/>
      <c r="CN553" s="41"/>
      <c r="CO553" s="41"/>
      <c r="CP553" s="41"/>
      <c r="CQ553" s="41"/>
      <c r="CR553" s="41"/>
      <c r="CS553" s="41"/>
      <c r="CT553" s="41"/>
      <c r="CU553" s="41"/>
      <c r="CV553" s="41"/>
      <c r="CW553" s="41"/>
      <c r="CX553" s="41"/>
      <c r="CY553" s="41"/>
      <c r="CZ553" s="41"/>
      <c r="DA553" s="41"/>
      <c r="DB553" s="41"/>
      <c r="DC553" s="41"/>
      <c r="DD553" s="41"/>
      <c r="DE553" s="41"/>
      <c r="DF553" s="41"/>
      <c r="DG553" s="41"/>
      <c r="DH553" s="41"/>
      <c r="DI553" s="41"/>
      <c r="DJ553" s="41"/>
      <c r="DK553" s="41"/>
      <c r="DL553" s="41"/>
      <c r="DM553" s="41"/>
      <c r="DN553" s="41"/>
      <c r="DO553" s="41"/>
      <c r="DP553" s="41"/>
      <c r="DQ553" s="41"/>
      <c r="DR553" s="41"/>
      <c r="DS553" s="41"/>
      <c r="DT553" s="41"/>
      <c r="DU553" s="41"/>
      <c r="DV553" s="41"/>
      <c r="DW553" s="41"/>
      <c r="DX553" s="41"/>
    </row>
    <row r="554" spans="1:142" s="75" customFormat="1" ht="15.75" hidden="1" x14ac:dyDescent="0.25">
      <c r="A554" s="86">
        <v>44655</v>
      </c>
      <c r="B554" s="87"/>
      <c r="C554" s="85" t="s">
        <v>13</v>
      </c>
      <c r="D554" s="85" t="s">
        <v>48</v>
      </c>
      <c r="E554" s="178">
        <v>744.06</v>
      </c>
      <c r="F554" s="178">
        <f>E554*0.025</f>
        <v>18.601499999999998</v>
      </c>
      <c r="G554" s="198">
        <f t="shared" si="15"/>
        <v>65684963.495750174</v>
      </c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  <c r="BJ554" s="41"/>
      <c r="BK554" s="41"/>
      <c r="BL554" s="41"/>
      <c r="BM554" s="41"/>
      <c r="BN554" s="41"/>
      <c r="BO554" s="41"/>
      <c r="BP554" s="41"/>
      <c r="BQ554" s="41"/>
      <c r="BR554" s="41"/>
      <c r="BS554" s="41"/>
      <c r="BT554" s="41"/>
      <c r="BU554" s="41"/>
      <c r="BV554" s="41"/>
      <c r="BW554" s="41"/>
      <c r="BX554" s="41"/>
      <c r="BY554" s="41"/>
      <c r="BZ554" s="41"/>
      <c r="CA554" s="41"/>
      <c r="CB554" s="41"/>
      <c r="CC554" s="41"/>
      <c r="CD554" s="41"/>
      <c r="CE554" s="41"/>
      <c r="CF554" s="41"/>
      <c r="CG554" s="41"/>
      <c r="CH554" s="41"/>
      <c r="CI554" s="41"/>
      <c r="CJ554" s="41"/>
      <c r="CK554" s="41"/>
      <c r="CL554" s="41"/>
      <c r="CM554" s="41"/>
      <c r="CN554" s="41"/>
      <c r="CO554" s="41"/>
      <c r="CP554" s="41"/>
      <c r="CQ554" s="41"/>
      <c r="CR554" s="41"/>
      <c r="CS554" s="41"/>
      <c r="CT554" s="41"/>
      <c r="CU554" s="41"/>
      <c r="CV554" s="41"/>
      <c r="CW554" s="41"/>
      <c r="CX554" s="41"/>
      <c r="CY554" s="41"/>
      <c r="CZ554" s="41"/>
      <c r="DA554" s="41"/>
      <c r="DB554" s="41"/>
      <c r="DC554" s="41"/>
      <c r="DD554" s="41"/>
      <c r="DE554" s="41"/>
      <c r="DF554" s="41"/>
      <c r="DG554" s="41"/>
      <c r="DH554" s="41"/>
      <c r="DI554" s="41"/>
      <c r="DJ554" s="41"/>
      <c r="DK554" s="41"/>
      <c r="DL554" s="41"/>
      <c r="DM554" s="41"/>
      <c r="DN554" s="41"/>
      <c r="DO554" s="41"/>
      <c r="DP554" s="41"/>
      <c r="DQ554" s="41"/>
      <c r="DR554" s="41"/>
      <c r="DS554" s="41"/>
      <c r="DT554" s="41"/>
      <c r="DU554" s="41"/>
      <c r="DV554" s="41"/>
      <c r="DW554" s="41"/>
      <c r="DX554" s="41"/>
    </row>
    <row r="555" spans="1:142" s="75" customFormat="1" ht="18.75" hidden="1" x14ac:dyDescent="0.3">
      <c r="A555" s="86">
        <v>44655</v>
      </c>
      <c r="B555" s="87"/>
      <c r="C555" s="85" t="s">
        <v>13</v>
      </c>
      <c r="D555" s="85" t="s">
        <v>48</v>
      </c>
      <c r="E555" s="178">
        <v>200</v>
      </c>
      <c r="F555" s="178">
        <f>E555*0.025</f>
        <v>5</v>
      </c>
      <c r="G555" s="198">
        <f t="shared" si="15"/>
        <v>65685158.495750174</v>
      </c>
      <c r="H555" s="181"/>
      <c r="I555" s="181"/>
      <c r="J555" s="182"/>
      <c r="K555" s="182"/>
      <c r="L555" s="192"/>
      <c r="M555" s="179"/>
      <c r="N555" s="180"/>
      <c r="O555" s="181"/>
      <c r="P555" s="181"/>
      <c r="Q555" s="182"/>
      <c r="R555" s="182"/>
      <c r="S555" s="192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  <c r="BJ555" s="41"/>
      <c r="BK555" s="41"/>
      <c r="BL555" s="41"/>
      <c r="BM555" s="41"/>
      <c r="BN555" s="41"/>
      <c r="BO555" s="41"/>
      <c r="BP555" s="41"/>
      <c r="BQ555" s="41"/>
      <c r="BR555" s="41"/>
      <c r="BS555" s="41"/>
      <c r="BT555" s="41"/>
      <c r="BU555" s="41"/>
      <c r="BV555" s="41"/>
      <c r="BW555" s="41"/>
      <c r="BX555" s="41"/>
      <c r="BY555" s="41"/>
      <c r="BZ555" s="41"/>
      <c r="CA555" s="41"/>
      <c r="CB555" s="41"/>
      <c r="CC555" s="41"/>
      <c r="CD555" s="41"/>
      <c r="CE555" s="41"/>
      <c r="CF555" s="41"/>
      <c r="CG555" s="41"/>
      <c r="CH555" s="41"/>
      <c r="CI555" s="41"/>
      <c r="CJ555" s="41"/>
      <c r="CK555" s="41"/>
      <c r="CL555" s="41"/>
      <c r="CM555" s="41"/>
      <c r="CN555" s="41"/>
      <c r="CO555" s="41"/>
      <c r="CP555" s="41"/>
      <c r="CQ555" s="41"/>
      <c r="CR555" s="41"/>
      <c r="CS555" s="41"/>
      <c r="CT555" s="41"/>
      <c r="CU555" s="41"/>
      <c r="CV555" s="41"/>
      <c r="CW555" s="41"/>
      <c r="CX555" s="41"/>
      <c r="CY555" s="41"/>
      <c r="CZ555" s="41"/>
      <c r="DA555" s="41"/>
      <c r="DB555" s="41"/>
      <c r="DC555" s="41"/>
      <c r="DD555" s="41"/>
      <c r="DE555" s="41"/>
      <c r="DF555" s="41"/>
      <c r="DG555" s="41"/>
      <c r="DH555" s="41"/>
      <c r="DI555" s="41"/>
      <c r="DJ555" s="41"/>
      <c r="DK555" s="41"/>
      <c r="DL555" s="41"/>
      <c r="DM555" s="41"/>
      <c r="DN555" s="41"/>
      <c r="DO555" s="41"/>
      <c r="DP555" s="41"/>
      <c r="DQ555" s="41"/>
      <c r="DR555" s="41"/>
      <c r="DS555" s="41"/>
      <c r="DT555" s="41"/>
      <c r="DU555" s="41"/>
      <c r="DV555" s="41"/>
      <c r="DW555" s="41"/>
      <c r="DX555" s="41"/>
      <c r="DY555" s="41"/>
      <c r="DZ555" s="41"/>
      <c r="EA555" s="41"/>
      <c r="EB555" s="41"/>
      <c r="EC555" s="41"/>
      <c r="ED555" s="41"/>
      <c r="EE555" s="41"/>
      <c r="EF555" s="41"/>
      <c r="EG555" s="41"/>
      <c r="EH555" s="41"/>
      <c r="EI555" s="41"/>
      <c r="EJ555" s="41"/>
      <c r="EK555" s="41"/>
      <c r="EL555" s="41"/>
    </row>
    <row r="556" spans="1:142" s="75" customFormat="1" ht="18.75" hidden="1" x14ac:dyDescent="0.3">
      <c r="A556" s="86">
        <v>44655</v>
      </c>
      <c r="B556" s="87"/>
      <c r="C556" s="85" t="s">
        <v>12</v>
      </c>
      <c r="D556" s="85" t="s">
        <v>27</v>
      </c>
      <c r="E556" s="178">
        <v>456250.18</v>
      </c>
      <c r="F556" s="178"/>
      <c r="G556" s="198">
        <f t="shared" si="15"/>
        <v>66141408.675750174</v>
      </c>
      <c r="H556" s="181"/>
      <c r="I556" s="181"/>
      <c r="J556" s="182"/>
      <c r="K556" s="182"/>
      <c r="L556" s="192"/>
      <c r="M556" s="179"/>
      <c r="N556" s="180"/>
      <c r="O556" s="181"/>
      <c r="P556" s="181"/>
      <c r="Q556" s="182"/>
      <c r="R556" s="182"/>
      <c r="S556" s="192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  <c r="BJ556" s="41"/>
      <c r="BK556" s="41"/>
      <c r="BL556" s="41"/>
      <c r="BM556" s="41"/>
      <c r="BN556" s="41"/>
      <c r="BO556" s="41"/>
      <c r="BP556" s="41"/>
      <c r="BQ556" s="41"/>
      <c r="BR556" s="41"/>
      <c r="BS556" s="41"/>
      <c r="BT556" s="41"/>
      <c r="BU556" s="41"/>
      <c r="BV556" s="41"/>
      <c r="BW556" s="41"/>
      <c r="BX556" s="41"/>
      <c r="BY556" s="41"/>
      <c r="BZ556" s="41"/>
      <c r="CA556" s="41"/>
      <c r="CB556" s="41"/>
      <c r="CC556" s="41"/>
      <c r="CD556" s="41"/>
      <c r="CE556" s="41"/>
      <c r="CF556" s="41"/>
      <c r="CG556" s="41"/>
      <c r="CH556" s="41"/>
      <c r="CI556" s="41"/>
      <c r="CJ556" s="41"/>
      <c r="CK556" s="41"/>
      <c r="CL556" s="41"/>
      <c r="CM556" s="41"/>
      <c r="CN556" s="41"/>
      <c r="CO556" s="41"/>
      <c r="CP556" s="41"/>
      <c r="CQ556" s="41"/>
      <c r="CR556" s="41"/>
      <c r="CS556" s="41"/>
      <c r="CT556" s="41"/>
      <c r="CU556" s="41"/>
      <c r="CV556" s="41"/>
      <c r="CW556" s="41"/>
      <c r="CX556" s="41"/>
      <c r="CY556" s="41"/>
      <c r="CZ556" s="41"/>
      <c r="DA556" s="41"/>
      <c r="DB556" s="41"/>
      <c r="DC556" s="41"/>
      <c r="DD556" s="41"/>
      <c r="DE556" s="41"/>
      <c r="DF556" s="41"/>
      <c r="DG556" s="41"/>
      <c r="DH556" s="41"/>
      <c r="DI556" s="41"/>
      <c r="DJ556" s="41"/>
      <c r="DK556" s="41"/>
      <c r="DL556" s="41"/>
      <c r="DM556" s="41"/>
      <c r="DN556" s="41"/>
      <c r="DO556" s="41"/>
      <c r="DP556" s="41"/>
      <c r="DQ556" s="41"/>
      <c r="DR556" s="41"/>
      <c r="DS556" s="41"/>
      <c r="DT556" s="41"/>
      <c r="DU556" s="41"/>
      <c r="DV556" s="41"/>
      <c r="DW556" s="41"/>
      <c r="DX556" s="41"/>
      <c r="DY556" s="41"/>
      <c r="DZ556" s="41"/>
      <c r="EA556" s="41"/>
      <c r="EB556" s="41"/>
      <c r="EC556" s="41"/>
      <c r="ED556" s="41"/>
      <c r="EE556" s="41"/>
      <c r="EF556" s="41"/>
      <c r="EG556" s="41"/>
      <c r="EH556" s="41"/>
      <c r="EI556" s="41"/>
      <c r="EJ556" s="41"/>
      <c r="EK556" s="41"/>
      <c r="EL556" s="41"/>
    </row>
    <row r="557" spans="1:142" s="75" customFormat="1" ht="18.75" hidden="1" x14ac:dyDescent="0.3">
      <c r="A557" s="86">
        <v>44655</v>
      </c>
      <c r="B557" s="87"/>
      <c r="C557" s="85" t="s">
        <v>12</v>
      </c>
      <c r="D557" s="85" t="s">
        <v>1048</v>
      </c>
      <c r="E557" s="178"/>
      <c r="F557" s="178">
        <v>456250.18</v>
      </c>
      <c r="G557" s="199">
        <f t="shared" si="15"/>
        <v>65685158.495750174</v>
      </c>
      <c r="H557" s="181"/>
      <c r="I557" s="181"/>
      <c r="J557" s="182"/>
      <c r="K557" s="182"/>
      <c r="L557" s="192"/>
      <c r="M557" s="179"/>
      <c r="N557" s="180"/>
      <c r="O557" s="181"/>
      <c r="P557" s="181"/>
      <c r="Q557" s="182"/>
      <c r="R557" s="182"/>
      <c r="S557" s="192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  <c r="BL557" s="41"/>
      <c r="BM557" s="41"/>
      <c r="BN557" s="41"/>
      <c r="BO557" s="41"/>
      <c r="BP557" s="41"/>
      <c r="BQ557" s="41"/>
      <c r="BR557" s="41"/>
      <c r="BS557" s="41"/>
      <c r="BT557" s="41"/>
      <c r="BU557" s="41"/>
      <c r="BV557" s="41"/>
      <c r="BW557" s="41"/>
      <c r="BX557" s="41"/>
      <c r="BY557" s="41"/>
      <c r="BZ557" s="41"/>
      <c r="CA557" s="41"/>
      <c r="CB557" s="41"/>
      <c r="CC557" s="41"/>
      <c r="CD557" s="41"/>
      <c r="CE557" s="41"/>
      <c r="CF557" s="41"/>
      <c r="CG557" s="41"/>
      <c r="CH557" s="41"/>
      <c r="CI557" s="41"/>
      <c r="CJ557" s="41"/>
      <c r="CK557" s="41"/>
      <c r="CL557" s="41"/>
      <c r="CM557" s="41"/>
      <c r="CN557" s="41"/>
      <c r="CO557" s="41"/>
      <c r="CP557" s="41"/>
      <c r="CQ557" s="41"/>
      <c r="CR557" s="41"/>
      <c r="CS557" s="41"/>
      <c r="CT557" s="41"/>
      <c r="CU557" s="41"/>
      <c r="CV557" s="41"/>
      <c r="CW557" s="41"/>
      <c r="CX557" s="41"/>
      <c r="CY557" s="41"/>
      <c r="CZ557" s="41"/>
      <c r="DA557" s="41"/>
      <c r="DB557" s="41"/>
      <c r="DC557" s="41"/>
      <c r="DD557" s="41"/>
      <c r="DE557" s="41"/>
      <c r="DF557" s="41"/>
      <c r="DG557" s="41"/>
      <c r="DH557" s="41"/>
      <c r="DI557" s="41"/>
      <c r="DJ557" s="41"/>
      <c r="DK557" s="41"/>
      <c r="DL557" s="41"/>
      <c r="DM557" s="41"/>
      <c r="DN557" s="41"/>
      <c r="DO557" s="41"/>
      <c r="DP557" s="41"/>
      <c r="DQ557" s="41"/>
      <c r="DR557" s="41"/>
      <c r="DS557" s="41"/>
      <c r="DT557" s="41"/>
      <c r="DU557" s="41"/>
      <c r="DV557" s="41"/>
      <c r="DW557" s="41"/>
      <c r="DX557" s="41"/>
      <c r="DY557" s="41"/>
      <c r="DZ557" s="41"/>
      <c r="EA557" s="41"/>
      <c r="EB557" s="41"/>
      <c r="EC557" s="41"/>
      <c r="ED557" s="41"/>
      <c r="EE557" s="41"/>
      <c r="EF557" s="41"/>
      <c r="EG557" s="41"/>
      <c r="EH557" s="41"/>
      <c r="EI557" s="41"/>
      <c r="EJ557" s="41"/>
      <c r="EK557" s="41"/>
      <c r="EL557" s="41"/>
    </row>
    <row r="558" spans="1:142" s="75" customFormat="1" ht="18.75" hidden="1" x14ac:dyDescent="0.3">
      <c r="A558" s="86">
        <v>44685</v>
      </c>
      <c r="B558" s="87"/>
      <c r="C558" s="85" t="s">
        <v>22</v>
      </c>
      <c r="D558" s="85" t="s">
        <v>22</v>
      </c>
      <c r="E558" s="178">
        <v>20855</v>
      </c>
      <c r="F558" s="178"/>
      <c r="G558" s="198">
        <f t="shared" si="15"/>
        <v>65706013.495750174</v>
      </c>
      <c r="H558" s="181"/>
      <c r="I558" s="181"/>
      <c r="J558" s="182"/>
      <c r="K558" s="182"/>
      <c r="L558" s="192"/>
      <c r="M558" s="179"/>
      <c r="N558" s="180"/>
      <c r="O558" s="181"/>
      <c r="P558" s="181"/>
      <c r="Q558" s="182"/>
      <c r="R558" s="182"/>
      <c r="S558" s="192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  <c r="BJ558" s="41"/>
      <c r="BK558" s="41"/>
      <c r="BL558" s="41"/>
      <c r="BM558" s="41"/>
      <c r="BN558" s="41"/>
      <c r="BO558" s="41"/>
      <c r="BP558" s="41"/>
      <c r="BQ558" s="41"/>
      <c r="BR558" s="41"/>
      <c r="BS558" s="41"/>
      <c r="BT558" s="41"/>
      <c r="BU558" s="41"/>
      <c r="BV558" s="41"/>
      <c r="BW558" s="41"/>
      <c r="BX558" s="41"/>
      <c r="BY558" s="41"/>
      <c r="BZ558" s="41"/>
      <c r="CA558" s="41"/>
      <c r="CB558" s="41"/>
      <c r="CC558" s="41"/>
      <c r="CD558" s="41"/>
      <c r="CE558" s="41"/>
      <c r="CF558" s="41"/>
      <c r="CG558" s="41"/>
      <c r="CH558" s="41"/>
      <c r="CI558" s="41"/>
      <c r="CJ558" s="41"/>
      <c r="CK558" s="41"/>
      <c r="CL558" s="41"/>
      <c r="CM558" s="41"/>
      <c r="CN558" s="41"/>
      <c r="CO558" s="41"/>
      <c r="CP558" s="41"/>
      <c r="CQ558" s="41"/>
      <c r="CR558" s="41"/>
      <c r="CS558" s="41"/>
      <c r="CT558" s="41"/>
      <c r="CU558" s="41"/>
      <c r="CV558" s="41"/>
      <c r="CW558" s="41"/>
      <c r="CX558" s="41"/>
      <c r="CY558" s="41"/>
      <c r="CZ558" s="41"/>
      <c r="DA558" s="41"/>
      <c r="DB558" s="41"/>
      <c r="DC558" s="41"/>
      <c r="DD558" s="41"/>
      <c r="DE558" s="41"/>
      <c r="DF558" s="41"/>
      <c r="DG558" s="41"/>
      <c r="DH558" s="41"/>
      <c r="DI558" s="41"/>
      <c r="DJ558" s="41"/>
      <c r="DK558" s="41"/>
      <c r="DL558" s="41"/>
      <c r="DM558" s="41"/>
      <c r="DN558" s="41"/>
      <c r="DO558" s="41"/>
      <c r="DP558" s="41"/>
      <c r="DQ558" s="41"/>
      <c r="DR558" s="41"/>
      <c r="DS558" s="41"/>
      <c r="DT558" s="41"/>
      <c r="DU558" s="41"/>
      <c r="DV558" s="41"/>
      <c r="DW558" s="41"/>
      <c r="DX558" s="41"/>
      <c r="DY558" s="41"/>
      <c r="DZ558" s="41"/>
      <c r="EA558" s="41"/>
      <c r="EB558" s="41"/>
      <c r="EC558" s="41"/>
      <c r="ED558" s="41"/>
      <c r="EE558" s="41"/>
      <c r="EF558" s="41"/>
      <c r="EG558" s="41"/>
      <c r="EH558" s="41"/>
      <c r="EI558" s="41"/>
      <c r="EJ558" s="41"/>
      <c r="EK558" s="41"/>
      <c r="EL558" s="41"/>
    </row>
    <row r="559" spans="1:142" s="75" customFormat="1" ht="18.75" hidden="1" x14ac:dyDescent="0.3">
      <c r="A559" s="86">
        <v>44685</v>
      </c>
      <c r="B559" s="87"/>
      <c r="C559" s="85" t="s">
        <v>13</v>
      </c>
      <c r="D559" s="85" t="s">
        <v>48</v>
      </c>
      <c r="E559" s="178">
        <v>400</v>
      </c>
      <c r="F559" s="178">
        <f>E559*0.025</f>
        <v>10</v>
      </c>
      <c r="G559" s="198">
        <f t="shared" si="15"/>
        <v>65706403.495750174</v>
      </c>
      <c r="H559" s="181"/>
      <c r="I559" s="181"/>
      <c r="J559" s="182"/>
      <c r="K559" s="182"/>
      <c r="L559" s="192"/>
      <c r="M559" s="179"/>
      <c r="N559" s="180"/>
      <c r="O559" s="181"/>
      <c r="P559" s="181"/>
      <c r="Q559" s="182"/>
      <c r="R559" s="182"/>
      <c r="S559" s="192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  <c r="BI559" s="41"/>
      <c r="BJ559" s="41"/>
      <c r="BK559" s="41"/>
      <c r="BL559" s="41"/>
      <c r="BM559" s="41"/>
      <c r="BN559" s="41"/>
      <c r="BO559" s="41"/>
      <c r="BP559" s="41"/>
      <c r="BQ559" s="41"/>
      <c r="BR559" s="41"/>
      <c r="BS559" s="41"/>
      <c r="BT559" s="41"/>
      <c r="BU559" s="41"/>
      <c r="BV559" s="41"/>
      <c r="BW559" s="41"/>
      <c r="BX559" s="41"/>
      <c r="BY559" s="41"/>
      <c r="BZ559" s="41"/>
      <c r="CA559" s="41"/>
      <c r="CB559" s="41"/>
      <c r="CC559" s="41"/>
      <c r="CD559" s="41"/>
      <c r="CE559" s="41"/>
      <c r="CF559" s="41"/>
      <c r="CG559" s="41"/>
      <c r="CH559" s="41"/>
      <c r="CI559" s="41"/>
      <c r="CJ559" s="41"/>
      <c r="CK559" s="41"/>
      <c r="CL559" s="41"/>
      <c r="CM559" s="41"/>
      <c r="CN559" s="41"/>
      <c r="CO559" s="41"/>
      <c r="CP559" s="41"/>
      <c r="CQ559" s="41"/>
      <c r="CR559" s="41"/>
      <c r="CS559" s="41"/>
      <c r="CT559" s="41"/>
      <c r="CU559" s="41"/>
      <c r="CV559" s="41"/>
      <c r="CW559" s="41"/>
      <c r="CX559" s="41"/>
      <c r="CY559" s="41"/>
      <c r="CZ559" s="41"/>
      <c r="DA559" s="41"/>
      <c r="DB559" s="41"/>
      <c r="DC559" s="41"/>
      <c r="DD559" s="41"/>
      <c r="DE559" s="41"/>
      <c r="DF559" s="41"/>
      <c r="DG559" s="41"/>
      <c r="DH559" s="41"/>
      <c r="DI559" s="41"/>
      <c r="DJ559" s="41"/>
      <c r="DK559" s="41"/>
      <c r="DL559" s="41"/>
      <c r="DM559" s="41"/>
      <c r="DN559" s="41"/>
      <c r="DO559" s="41"/>
      <c r="DP559" s="41"/>
      <c r="DQ559" s="41"/>
      <c r="DR559" s="41"/>
      <c r="DS559" s="41"/>
      <c r="DT559" s="41"/>
      <c r="DU559" s="41"/>
      <c r="DV559" s="41"/>
      <c r="DW559" s="41"/>
      <c r="DX559" s="41"/>
      <c r="DY559" s="41"/>
      <c r="DZ559" s="41"/>
      <c r="EA559" s="41"/>
      <c r="EB559" s="41"/>
      <c r="EC559" s="41"/>
      <c r="ED559" s="41"/>
      <c r="EE559" s="41"/>
      <c r="EF559" s="41"/>
      <c r="EG559" s="41"/>
      <c r="EH559" s="41"/>
      <c r="EI559" s="41"/>
      <c r="EJ559" s="41"/>
      <c r="EK559" s="41"/>
      <c r="EL559" s="41"/>
    </row>
    <row r="560" spans="1:142" s="75" customFormat="1" ht="18.75" hidden="1" x14ac:dyDescent="0.3">
      <c r="A560" s="86">
        <v>44685</v>
      </c>
      <c r="B560" s="87"/>
      <c r="C560" s="85" t="s">
        <v>13</v>
      </c>
      <c r="D560" s="85" t="s">
        <v>48</v>
      </c>
      <c r="E560" s="178">
        <v>18528.96</v>
      </c>
      <c r="F560" s="178">
        <f>E560*0.025</f>
        <v>463.22399999999999</v>
      </c>
      <c r="G560" s="199">
        <f t="shared" si="15"/>
        <v>65724469.231750175</v>
      </c>
      <c r="H560" s="181"/>
      <c r="I560" s="181"/>
      <c r="J560" s="182"/>
      <c r="K560" s="182"/>
      <c r="L560" s="192"/>
      <c r="M560" s="179"/>
      <c r="N560" s="180"/>
      <c r="O560" s="181"/>
      <c r="P560" s="181"/>
      <c r="Q560" s="182"/>
      <c r="R560" s="182"/>
      <c r="S560" s="192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  <c r="BI560" s="41"/>
      <c r="BJ560" s="41"/>
      <c r="BK560" s="41"/>
      <c r="BL560" s="41"/>
      <c r="BM560" s="41"/>
      <c r="BN560" s="41"/>
      <c r="BO560" s="41"/>
      <c r="BP560" s="41"/>
      <c r="BQ560" s="41"/>
      <c r="BR560" s="41"/>
      <c r="BS560" s="41"/>
      <c r="BT560" s="41"/>
      <c r="BU560" s="41"/>
      <c r="BV560" s="41"/>
      <c r="BW560" s="41"/>
      <c r="BX560" s="41"/>
      <c r="BY560" s="41"/>
      <c r="BZ560" s="41"/>
      <c r="CA560" s="41"/>
      <c r="CB560" s="41"/>
      <c r="CC560" s="41"/>
      <c r="CD560" s="41"/>
      <c r="CE560" s="41"/>
      <c r="CF560" s="41"/>
      <c r="CG560" s="41"/>
      <c r="CH560" s="41"/>
      <c r="CI560" s="41"/>
      <c r="CJ560" s="41"/>
      <c r="CK560" s="41"/>
      <c r="CL560" s="41"/>
      <c r="CM560" s="41"/>
      <c r="CN560" s="41"/>
      <c r="CO560" s="41"/>
      <c r="CP560" s="41"/>
      <c r="CQ560" s="41"/>
      <c r="CR560" s="41"/>
      <c r="CS560" s="41"/>
      <c r="CT560" s="41"/>
      <c r="CU560" s="41"/>
      <c r="CV560" s="41"/>
      <c r="CW560" s="41"/>
      <c r="CX560" s="41"/>
      <c r="CY560" s="41"/>
      <c r="CZ560" s="41"/>
      <c r="DA560" s="41"/>
      <c r="DB560" s="41"/>
      <c r="DC560" s="41"/>
      <c r="DD560" s="41"/>
      <c r="DE560" s="41"/>
      <c r="DF560" s="41"/>
      <c r="DG560" s="41"/>
      <c r="DH560" s="41"/>
      <c r="DI560" s="41"/>
      <c r="DJ560" s="41"/>
      <c r="DK560" s="41"/>
      <c r="DL560" s="41"/>
      <c r="DM560" s="41"/>
      <c r="DN560" s="41"/>
      <c r="DO560" s="41"/>
      <c r="DP560" s="41"/>
      <c r="DQ560" s="41"/>
      <c r="DR560" s="41"/>
      <c r="DS560" s="41"/>
      <c r="DT560" s="41"/>
      <c r="DU560" s="41"/>
      <c r="DV560" s="41"/>
      <c r="DW560" s="41"/>
      <c r="DX560" s="41"/>
      <c r="DY560" s="41"/>
      <c r="DZ560" s="41"/>
      <c r="EA560" s="41"/>
      <c r="EB560" s="41"/>
      <c r="EC560" s="41"/>
      <c r="ED560" s="41"/>
      <c r="EE560" s="41"/>
      <c r="EF560" s="41"/>
      <c r="EG560" s="41"/>
      <c r="EH560" s="41"/>
      <c r="EI560" s="41"/>
      <c r="EJ560" s="41"/>
      <c r="EK560" s="41"/>
      <c r="EL560" s="41"/>
    </row>
    <row r="561" spans="1:142" s="75" customFormat="1" ht="18.75" hidden="1" x14ac:dyDescent="0.3">
      <c r="A561" s="86">
        <v>44716</v>
      </c>
      <c r="B561" s="87"/>
      <c r="C561" s="85" t="s">
        <v>22</v>
      </c>
      <c r="D561" s="85" t="s">
        <v>22</v>
      </c>
      <c r="E561" s="178">
        <v>34436</v>
      </c>
      <c r="F561" s="178"/>
      <c r="G561" s="198">
        <f t="shared" si="15"/>
        <v>65758905.231750175</v>
      </c>
      <c r="H561" s="181"/>
      <c r="I561" s="181"/>
      <c r="J561" s="182"/>
      <c r="K561" s="182"/>
      <c r="L561" s="192"/>
      <c r="M561" s="179"/>
      <c r="N561" s="180"/>
      <c r="O561" s="181"/>
      <c r="P561" s="181"/>
      <c r="Q561" s="182"/>
      <c r="R561" s="182"/>
      <c r="S561" s="192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  <c r="BI561" s="41"/>
      <c r="BJ561" s="41"/>
      <c r="BK561" s="41"/>
      <c r="BL561" s="41"/>
      <c r="BM561" s="41"/>
      <c r="BN561" s="41"/>
      <c r="BO561" s="41"/>
      <c r="BP561" s="41"/>
      <c r="BQ561" s="41"/>
      <c r="BR561" s="41"/>
      <c r="BS561" s="41"/>
      <c r="BT561" s="41"/>
      <c r="BU561" s="41"/>
      <c r="BV561" s="41"/>
      <c r="BW561" s="41"/>
      <c r="BX561" s="41"/>
      <c r="BY561" s="41"/>
      <c r="BZ561" s="41"/>
      <c r="CA561" s="41"/>
      <c r="CB561" s="41"/>
      <c r="CC561" s="41"/>
      <c r="CD561" s="41"/>
      <c r="CE561" s="41"/>
      <c r="CF561" s="41"/>
      <c r="CG561" s="41"/>
      <c r="CH561" s="41"/>
      <c r="CI561" s="41"/>
      <c r="CJ561" s="41"/>
      <c r="CK561" s="41"/>
      <c r="CL561" s="41"/>
      <c r="CM561" s="41"/>
      <c r="CN561" s="41"/>
      <c r="CO561" s="41"/>
      <c r="CP561" s="41"/>
      <c r="CQ561" s="41"/>
      <c r="CR561" s="41"/>
      <c r="CS561" s="41"/>
      <c r="CT561" s="41"/>
      <c r="CU561" s="41"/>
      <c r="CV561" s="41"/>
      <c r="CW561" s="41"/>
      <c r="CX561" s="41"/>
      <c r="CY561" s="41"/>
      <c r="CZ561" s="41"/>
      <c r="DA561" s="41"/>
      <c r="DB561" s="41"/>
      <c r="DC561" s="41"/>
      <c r="DD561" s="41"/>
      <c r="DE561" s="41"/>
      <c r="DF561" s="41"/>
      <c r="DG561" s="41"/>
      <c r="DH561" s="41"/>
      <c r="DI561" s="41"/>
      <c r="DJ561" s="41"/>
      <c r="DK561" s="41"/>
      <c r="DL561" s="41"/>
      <c r="DM561" s="41"/>
      <c r="DN561" s="41"/>
      <c r="DO561" s="41"/>
      <c r="DP561" s="41"/>
      <c r="DQ561" s="41"/>
      <c r="DR561" s="41"/>
      <c r="DS561" s="41"/>
      <c r="DT561" s="41"/>
      <c r="DU561" s="41"/>
      <c r="DV561" s="41"/>
      <c r="DW561" s="41"/>
      <c r="DX561" s="41"/>
      <c r="DY561" s="41"/>
      <c r="DZ561" s="41"/>
      <c r="EA561" s="41"/>
      <c r="EB561" s="41"/>
      <c r="EC561" s="41"/>
      <c r="ED561" s="41"/>
      <c r="EE561" s="41"/>
      <c r="EF561" s="41"/>
      <c r="EG561" s="41"/>
      <c r="EH561" s="41"/>
      <c r="EI561" s="41"/>
      <c r="EJ561" s="41"/>
      <c r="EK561" s="41"/>
      <c r="EL561" s="41"/>
    </row>
    <row r="562" spans="1:142" s="75" customFormat="1" ht="18.75" hidden="1" x14ac:dyDescent="0.3">
      <c r="A562" s="86">
        <v>44716</v>
      </c>
      <c r="B562" s="87"/>
      <c r="C562" s="85" t="s">
        <v>13</v>
      </c>
      <c r="D562" s="85" t="s">
        <v>48</v>
      </c>
      <c r="E562" s="178">
        <v>730</v>
      </c>
      <c r="F562" s="178">
        <f>E562*0.025</f>
        <v>18.25</v>
      </c>
      <c r="G562" s="198">
        <f t="shared" si="15"/>
        <v>65759616.981750175</v>
      </c>
      <c r="H562" s="181"/>
      <c r="I562" s="181"/>
      <c r="J562" s="182"/>
      <c r="K562" s="182"/>
      <c r="L562" s="192"/>
      <c r="M562" s="179"/>
      <c r="N562" s="180"/>
      <c r="O562" s="181"/>
      <c r="P562" s="181"/>
      <c r="Q562" s="182"/>
      <c r="R562" s="182"/>
      <c r="S562" s="192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  <c r="BJ562" s="41"/>
      <c r="BK562" s="41"/>
      <c r="BL562" s="41"/>
      <c r="BM562" s="41"/>
      <c r="BN562" s="41"/>
      <c r="BO562" s="41"/>
      <c r="BP562" s="41"/>
      <c r="BQ562" s="41"/>
      <c r="BR562" s="41"/>
      <c r="BS562" s="41"/>
      <c r="BT562" s="41"/>
      <c r="BU562" s="41"/>
      <c r="BV562" s="41"/>
      <c r="BW562" s="41"/>
      <c r="BX562" s="41"/>
      <c r="BY562" s="41"/>
      <c r="BZ562" s="41"/>
      <c r="CA562" s="41"/>
      <c r="CB562" s="41"/>
      <c r="CC562" s="41"/>
      <c r="CD562" s="41"/>
      <c r="CE562" s="41"/>
      <c r="CF562" s="41"/>
      <c r="CG562" s="41"/>
      <c r="CH562" s="41"/>
      <c r="CI562" s="41"/>
      <c r="CJ562" s="41"/>
      <c r="CK562" s="41"/>
      <c r="CL562" s="41"/>
      <c r="CM562" s="41"/>
      <c r="CN562" s="41"/>
      <c r="CO562" s="41"/>
      <c r="CP562" s="41"/>
      <c r="CQ562" s="41"/>
      <c r="CR562" s="41"/>
      <c r="CS562" s="41"/>
      <c r="CT562" s="41"/>
      <c r="CU562" s="41"/>
      <c r="CV562" s="41"/>
      <c r="CW562" s="41"/>
      <c r="CX562" s="41"/>
      <c r="CY562" s="41"/>
      <c r="CZ562" s="41"/>
      <c r="DA562" s="41"/>
      <c r="DB562" s="41"/>
      <c r="DC562" s="41"/>
      <c r="DD562" s="41"/>
      <c r="DE562" s="41"/>
      <c r="DF562" s="41"/>
      <c r="DG562" s="41"/>
      <c r="DH562" s="41"/>
      <c r="DI562" s="41"/>
      <c r="DJ562" s="41"/>
      <c r="DK562" s="41"/>
      <c r="DL562" s="41"/>
      <c r="DM562" s="41"/>
      <c r="DN562" s="41"/>
      <c r="DO562" s="41"/>
      <c r="DP562" s="41"/>
      <c r="DQ562" s="41"/>
      <c r="DR562" s="41"/>
      <c r="DS562" s="41"/>
      <c r="DT562" s="41"/>
      <c r="DU562" s="41"/>
      <c r="DV562" s="41"/>
      <c r="DW562" s="41"/>
      <c r="DX562" s="41"/>
      <c r="DY562" s="41"/>
      <c r="DZ562" s="41"/>
      <c r="EA562" s="41"/>
      <c r="EB562" s="41"/>
      <c r="EC562" s="41"/>
      <c r="ED562" s="41"/>
      <c r="EE562" s="41"/>
      <c r="EF562" s="41"/>
      <c r="EG562" s="41"/>
      <c r="EH562" s="41"/>
      <c r="EI562" s="41"/>
      <c r="EJ562" s="41"/>
      <c r="EK562" s="41"/>
      <c r="EL562" s="41"/>
    </row>
    <row r="563" spans="1:142" s="75" customFormat="1" ht="18.75" hidden="1" x14ac:dyDescent="0.3">
      <c r="A563" s="86">
        <v>44716</v>
      </c>
      <c r="B563" s="87"/>
      <c r="C563" s="85" t="s">
        <v>13</v>
      </c>
      <c r="D563" s="85" t="s">
        <v>48</v>
      </c>
      <c r="E563" s="178">
        <v>1930.4</v>
      </c>
      <c r="F563" s="178">
        <f>E563*0.025</f>
        <v>48.260000000000005</v>
      </c>
      <c r="G563" s="198">
        <f t="shared" si="15"/>
        <v>65761499.121750176</v>
      </c>
      <c r="H563" s="181"/>
      <c r="I563" s="181"/>
      <c r="J563" s="182"/>
      <c r="K563" s="182"/>
      <c r="L563" s="192"/>
      <c r="M563" s="179"/>
      <c r="N563" s="180"/>
      <c r="O563" s="181"/>
      <c r="P563" s="181"/>
      <c r="Q563" s="182"/>
      <c r="R563" s="182"/>
      <c r="S563" s="193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  <c r="BI563" s="41"/>
      <c r="BJ563" s="41"/>
      <c r="BK563" s="41"/>
      <c r="BL563" s="41"/>
      <c r="BM563" s="41"/>
      <c r="BN563" s="41"/>
      <c r="BO563" s="41"/>
      <c r="BP563" s="41"/>
      <c r="BQ563" s="41"/>
      <c r="BR563" s="41"/>
      <c r="BS563" s="41"/>
      <c r="BT563" s="41"/>
      <c r="BU563" s="41"/>
      <c r="BV563" s="41"/>
      <c r="BW563" s="41"/>
      <c r="BX563" s="41"/>
      <c r="BY563" s="41"/>
      <c r="BZ563" s="41"/>
      <c r="CA563" s="41"/>
      <c r="CB563" s="41"/>
      <c r="CC563" s="41"/>
      <c r="CD563" s="41"/>
      <c r="CE563" s="41"/>
      <c r="CF563" s="41"/>
      <c r="CG563" s="41"/>
      <c r="CH563" s="41"/>
      <c r="CI563" s="41"/>
      <c r="CJ563" s="41"/>
      <c r="CK563" s="41"/>
      <c r="CL563" s="41"/>
      <c r="CM563" s="41"/>
      <c r="CN563" s="41"/>
      <c r="CO563" s="41"/>
      <c r="CP563" s="41"/>
      <c r="CQ563" s="41"/>
      <c r="CR563" s="41"/>
      <c r="CS563" s="41"/>
      <c r="CT563" s="41"/>
      <c r="CU563" s="41"/>
      <c r="CV563" s="41"/>
      <c r="CW563" s="41"/>
      <c r="CX563" s="41"/>
      <c r="CY563" s="41"/>
      <c r="CZ563" s="41"/>
      <c r="DA563" s="41"/>
      <c r="DB563" s="41"/>
      <c r="DC563" s="41"/>
      <c r="DD563" s="41"/>
      <c r="DE563" s="41"/>
      <c r="DF563" s="41"/>
      <c r="DG563" s="41"/>
      <c r="DH563" s="41"/>
      <c r="DI563" s="41"/>
      <c r="DJ563" s="41"/>
      <c r="DK563" s="41"/>
      <c r="DL563" s="41"/>
      <c r="DM563" s="41"/>
      <c r="DN563" s="41"/>
      <c r="DO563" s="41"/>
      <c r="DP563" s="41"/>
      <c r="DQ563" s="41"/>
      <c r="DR563" s="41"/>
      <c r="DS563" s="41"/>
      <c r="DT563" s="41"/>
      <c r="DU563" s="41"/>
      <c r="DV563" s="41"/>
      <c r="DW563" s="41"/>
      <c r="DX563" s="41"/>
      <c r="DY563" s="41"/>
      <c r="DZ563" s="41"/>
      <c r="EA563" s="41"/>
      <c r="EB563" s="41"/>
      <c r="EC563" s="41"/>
      <c r="ED563" s="41"/>
      <c r="EE563" s="41"/>
      <c r="EF563" s="41"/>
      <c r="EG563" s="41"/>
      <c r="EH563" s="41"/>
      <c r="EI563" s="41"/>
      <c r="EJ563" s="41"/>
      <c r="EK563" s="41"/>
      <c r="EL563" s="41"/>
    </row>
    <row r="564" spans="1:142" s="75" customFormat="1" ht="18.75" hidden="1" x14ac:dyDescent="0.3">
      <c r="A564" s="86">
        <v>44716</v>
      </c>
      <c r="B564" s="87"/>
      <c r="C564" s="85" t="s">
        <v>13</v>
      </c>
      <c r="D564" s="85" t="s">
        <v>48</v>
      </c>
      <c r="E564" s="178">
        <v>300</v>
      </c>
      <c r="F564" s="178">
        <f>E564*0.025</f>
        <v>7.5</v>
      </c>
      <c r="G564" s="198">
        <f t="shared" si="15"/>
        <v>65761791.621750176</v>
      </c>
      <c r="H564" s="181"/>
      <c r="I564" s="181"/>
      <c r="J564" s="182"/>
      <c r="K564" s="182"/>
      <c r="L564" s="192"/>
      <c r="M564" s="179"/>
      <c r="N564" s="180"/>
      <c r="O564" s="181"/>
      <c r="P564" s="181"/>
      <c r="Q564" s="183"/>
      <c r="R564" s="182"/>
      <c r="S564" s="193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  <c r="BJ564" s="41"/>
      <c r="BK564" s="41"/>
      <c r="BL564" s="41"/>
      <c r="BM564" s="41"/>
      <c r="BN564" s="41"/>
      <c r="BO564" s="41"/>
      <c r="BP564" s="41"/>
      <c r="BQ564" s="41"/>
      <c r="BR564" s="41"/>
      <c r="BS564" s="41"/>
      <c r="BT564" s="41"/>
      <c r="BU564" s="41"/>
      <c r="BV564" s="41"/>
      <c r="BW564" s="41"/>
      <c r="BX564" s="41"/>
      <c r="BY564" s="41"/>
      <c r="BZ564" s="41"/>
      <c r="CA564" s="41"/>
      <c r="CB564" s="41"/>
      <c r="CC564" s="41"/>
      <c r="CD564" s="41"/>
      <c r="CE564" s="41"/>
      <c r="CF564" s="41"/>
      <c r="CG564" s="41"/>
      <c r="CH564" s="41"/>
      <c r="CI564" s="41"/>
      <c r="CJ564" s="41"/>
      <c r="CK564" s="41"/>
      <c r="CL564" s="41"/>
      <c r="CM564" s="41"/>
      <c r="CN564" s="41"/>
      <c r="CO564" s="41"/>
      <c r="CP564" s="41"/>
      <c r="CQ564" s="41"/>
      <c r="CR564" s="41"/>
      <c r="CS564" s="41"/>
      <c r="CT564" s="41"/>
      <c r="CU564" s="41"/>
      <c r="CV564" s="41"/>
      <c r="CW564" s="41"/>
      <c r="CX564" s="41"/>
      <c r="CY564" s="41"/>
      <c r="CZ564" s="41"/>
      <c r="DA564" s="41"/>
      <c r="DB564" s="41"/>
      <c r="DC564" s="41"/>
      <c r="DD564" s="41"/>
      <c r="DE564" s="41"/>
      <c r="DF564" s="41"/>
      <c r="DG564" s="41"/>
      <c r="DH564" s="41"/>
      <c r="DI564" s="41"/>
      <c r="DJ564" s="41"/>
      <c r="DK564" s="41"/>
      <c r="DL564" s="41"/>
      <c r="DM564" s="41"/>
      <c r="DN564" s="41"/>
      <c r="DO564" s="41"/>
      <c r="DP564" s="41"/>
      <c r="DQ564" s="41"/>
      <c r="DR564" s="41"/>
      <c r="DS564" s="41"/>
      <c r="DT564" s="41"/>
      <c r="DU564" s="41"/>
      <c r="DV564" s="41"/>
      <c r="DW564" s="41"/>
      <c r="DX564" s="41"/>
      <c r="DY564" s="41"/>
      <c r="DZ564" s="41"/>
      <c r="EA564" s="41"/>
      <c r="EB564" s="41"/>
      <c r="EC564" s="41"/>
      <c r="ED564" s="41"/>
      <c r="EE564" s="41"/>
      <c r="EF564" s="41"/>
      <c r="EG564" s="41"/>
      <c r="EH564" s="41"/>
      <c r="EI564" s="41"/>
      <c r="EJ564" s="41"/>
      <c r="EK564" s="41"/>
      <c r="EL564" s="41"/>
    </row>
    <row r="565" spans="1:142" s="75" customFormat="1" ht="32.25" hidden="1" x14ac:dyDescent="0.3">
      <c r="A565" s="86">
        <v>44716</v>
      </c>
      <c r="B565" s="87" t="s">
        <v>990</v>
      </c>
      <c r="C565" s="85" t="s">
        <v>991</v>
      </c>
      <c r="D565" s="85" t="s">
        <v>992</v>
      </c>
      <c r="E565" s="178"/>
      <c r="F565" s="178">
        <v>1356600</v>
      </c>
      <c r="G565" s="198">
        <f t="shared" si="15"/>
        <v>64405191.621750176</v>
      </c>
      <c r="H565" s="181"/>
      <c r="I565" s="181"/>
      <c r="J565" s="182"/>
      <c r="K565" s="182"/>
      <c r="L565" s="192"/>
      <c r="M565" s="179"/>
      <c r="N565" s="180"/>
      <c r="O565" s="181"/>
      <c r="P565" s="181"/>
      <c r="Q565" s="183"/>
      <c r="R565" s="182"/>
      <c r="S565" s="193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  <c r="BJ565" s="41"/>
      <c r="BK565" s="41"/>
      <c r="BL565" s="41"/>
      <c r="BM565" s="41"/>
      <c r="BN565" s="41"/>
      <c r="BO565" s="41"/>
      <c r="BP565" s="41"/>
      <c r="BQ565" s="41"/>
      <c r="BR565" s="41"/>
      <c r="BS565" s="41"/>
      <c r="BT565" s="41"/>
      <c r="BU565" s="41"/>
      <c r="BV565" s="41"/>
      <c r="BW565" s="41"/>
      <c r="BX565" s="41"/>
      <c r="BY565" s="41"/>
      <c r="BZ565" s="41"/>
      <c r="CA565" s="41"/>
      <c r="CB565" s="41"/>
      <c r="CC565" s="41"/>
      <c r="CD565" s="41"/>
      <c r="CE565" s="41"/>
      <c r="CF565" s="41"/>
      <c r="CG565" s="41"/>
      <c r="CH565" s="41"/>
      <c r="CI565" s="41"/>
      <c r="CJ565" s="41"/>
      <c r="CK565" s="41"/>
      <c r="CL565" s="41"/>
      <c r="CM565" s="41"/>
      <c r="CN565" s="41"/>
      <c r="CO565" s="41"/>
      <c r="CP565" s="41"/>
      <c r="CQ565" s="41"/>
      <c r="CR565" s="41"/>
      <c r="CS565" s="41"/>
      <c r="CT565" s="41"/>
      <c r="CU565" s="41"/>
      <c r="CV565" s="41"/>
      <c r="CW565" s="41"/>
      <c r="CX565" s="41"/>
      <c r="CY565" s="41"/>
      <c r="CZ565" s="41"/>
      <c r="DA565" s="41"/>
      <c r="DB565" s="41"/>
      <c r="DC565" s="41"/>
      <c r="DD565" s="41"/>
      <c r="DE565" s="41"/>
      <c r="DF565" s="41"/>
      <c r="DG565" s="41"/>
      <c r="DH565" s="41"/>
      <c r="DI565" s="41"/>
      <c r="DJ565" s="41"/>
      <c r="DK565" s="41"/>
      <c r="DL565" s="41"/>
      <c r="DM565" s="41"/>
      <c r="DN565" s="41"/>
      <c r="DO565" s="41"/>
      <c r="DP565" s="41"/>
      <c r="DQ565" s="41"/>
      <c r="DR565" s="41"/>
      <c r="DS565" s="41"/>
      <c r="DT565" s="41"/>
      <c r="DU565" s="41"/>
      <c r="DV565" s="41"/>
      <c r="DW565" s="41"/>
      <c r="DX565" s="41"/>
      <c r="DY565" s="41"/>
      <c r="DZ565" s="41"/>
      <c r="EA565" s="41"/>
      <c r="EB565" s="41"/>
      <c r="EC565" s="41"/>
      <c r="ED565" s="41"/>
      <c r="EE565" s="41"/>
      <c r="EF565" s="41"/>
      <c r="EG565" s="41"/>
      <c r="EH565" s="41"/>
      <c r="EI565" s="41"/>
      <c r="EJ565" s="41"/>
      <c r="EK565" s="41"/>
      <c r="EL565" s="41"/>
    </row>
    <row r="566" spans="1:142" s="75" customFormat="1" ht="32.25" hidden="1" x14ac:dyDescent="0.3">
      <c r="A566" s="86">
        <v>44716</v>
      </c>
      <c r="B566" s="87" t="s">
        <v>1049</v>
      </c>
      <c r="C566" s="85" t="s">
        <v>991</v>
      </c>
      <c r="D566" s="85" t="s">
        <v>1050</v>
      </c>
      <c r="E566" s="178"/>
      <c r="F566" s="178">
        <v>1436400</v>
      </c>
      <c r="G566" s="198">
        <f t="shared" si="15"/>
        <v>62968791.621750176</v>
      </c>
      <c r="H566" s="181"/>
      <c r="I566" s="181"/>
      <c r="J566" s="182"/>
      <c r="K566" s="182"/>
      <c r="L566" s="192"/>
      <c r="M566" s="179"/>
      <c r="N566" s="180"/>
      <c r="O566" s="181"/>
      <c r="P566" s="181"/>
      <c r="Q566" s="183"/>
      <c r="R566" s="182"/>
      <c r="S566" s="193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  <c r="BI566" s="41"/>
      <c r="BJ566" s="41"/>
      <c r="BK566" s="41"/>
      <c r="BL566" s="41"/>
      <c r="BM566" s="41"/>
      <c r="BN566" s="41"/>
      <c r="BO566" s="41"/>
      <c r="BP566" s="41"/>
      <c r="BQ566" s="41"/>
      <c r="BR566" s="41"/>
      <c r="BS566" s="41"/>
      <c r="BT566" s="41"/>
      <c r="BU566" s="41"/>
      <c r="BV566" s="41"/>
      <c r="BW566" s="41"/>
      <c r="BX566" s="41"/>
      <c r="BY566" s="41"/>
      <c r="BZ566" s="41"/>
      <c r="CA566" s="41"/>
      <c r="CB566" s="41"/>
      <c r="CC566" s="41"/>
      <c r="CD566" s="41"/>
      <c r="CE566" s="41"/>
      <c r="CF566" s="41"/>
      <c r="CG566" s="41"/>
      <c r="CH566" s="41"/>
      <c r="CI566" s="41"/>
      <c r="CJ566" s="41"/>
      <c r="CK566" s="41"/>
      <c r="CL566" s="41"/>
      <c r="CM566" s="41"/>
      <c r="CN566" s="41"/>
      <c r="CO566" s="41"/>
      <c r="CP566" s="41"/>
      <c r="CQ566" s="41"/>
      <c r="CR566" s="41"/>
      <c r="CS566" s="41"/>
      <c r="CT566" s="41"/>
      <c r="CU566" s="41"/>
      <c r="CV566" s="41"/>
      <c r="CW566" s="41"/>
      <c r="CX566" s="41"/>
      <c r="CY566" s="41"/>
      <c r="CZ566" s="41"/>
      <c r="DA566" s="41"/>
      <c r="DB566" s="41"/>
      <c r="DC566" s="41"/>
      <c r="DD566" s="41"/>
      <c r="DE566" s="41"/>
      <c r="DF566" s="41"/>
      <c r="DG566" s="41"/>
      <c r="DH566" s="41"/>
      <c r="DI566" s="41"/>
      <c r="DJ566" s="41"/>
      <c r="DK566" s="41"/>
      <c r="DL566" s="41"/>
      <c r="DM566" s="41"/>
      <c r="DN566" s="41"/>
      <c r="DO566" s="41"/>
      <c r="DP566" s="41"/>
      <c r="DQ566" s="41"/>
      <c r="DR566" s="41"/>
      <c r="DS566" s="41"/>
      <c r="DT566" s="41"/>
      <c r="DU566" s="41"/>
      <c r="DV566" s="41"/>
      <c r="DW566" s="41"/>
      <c r="DX566" s="41"/>
      <c r="DY566" s="41"/>
      <c r="DZ566" s="41"/>
      <c r="EA566" s="41"/>
      <c r="EB566" s="41"/>
      <c r="EC566" s="41"/>
      <c r="ED566" s="41"/>
      <c r="EE566" s="41"/>
      <c r="EF566" s="41"/>
      <c r="EG566" s="41"/>
      <c r="EH566" s="41"/>
      <c r="EI566" s="41"/>
      <c r="EJ566" s="41"/>
      <c r="EK566" s="41"/>
      <c r="EL566" s="41"/>
    </row>
    <row r="567" spans="1:142" s="75" customFormat="1" ht="16.5" hidden="1" customHeight="1" x14ac:dyDescent="0.25">
      <c r="A567" s="86">
        <v>44716</v>
      </c>
      <c r="B567" s="87"/>
      <c r="C567" s="85" t="s">
        <v>13</v>
      </c>
      <c r="D567" s="85" t="s">
        <v>48</v>
      </c>
      <c r="E567" s="178">
        <v>6198.04</v>
      </c>
      <c r="F567" s="178">
        <f>E567*0.025</f>
        <v>154.95100000000002</v>
      </c>
      <c r="G567" s="199">
        <f t="shared" si="15"/>
        <v>62974834.710750178</v>
      </c>
    </row>
    <row r="568" spans="1:142" s="185" customFormat="1" ht="36" hidden="1" customHeight="1" x14ac:dyDescent="0.25">
      <c r="A568" s="200">
        <v>44746</v>
      </c>
      <c r="B568" s="77" t="s">
        <v>995</v>
      </c>
      <c r="C568" s="85" t="s">
        <v>996</v>
      </c>
      <c r="D568" s="85" t="s">
        <v>997</v>
      </c>
      <c r="E568" s="23"/>
      <c r="F568" s="23">
        <v>1299600</v>
      </c>
      <c r="G568" s="198">
        <f t="shared" si="15"/>
        <v>61675234.710750178</v>
      </c>
    </row>
    <row r="569" spans="1:142" s="75" customFormat="1" ht="43.5" hidden="1" customHeight="1" x14ac:dyDescent="0.25">
      <c r="A569" s="86">
        <v>44746</v>
      </c>
      <c r="B569" s="87" t="s">
        <v>998</v>
      </c>
      <c r="C569" s="85" t="s">
        <v>999</v>
      </c>
      <c r="D569" s="85" t="s">
        <v>1000</v>
      </c>
      <c r="E569" s="178"/>
      <c r="F569" s="178">
        <v>65540</v>
      </c>
      <c r="G569" s="198">
        <f t="shared" si="15"/>
        <v>61609694.710750178</v>
      </c>
    </row>
    <row r="570" spans="1:142" s="75" customFormat="1" ht="43.5" hidden="1" customHeight="1" x14ac:dyDescent="0.25">
      <c r="A570" s="86">
        <v>44746</v>
      </c>
      <c r="B570" s="87" t="s">
        <v>1001</v>
      </c>
      <c r="C570" s="85" t="s">
        <v>1002</v>
      </c>
      <c r="D570" s="85" t="s">
        <v>1140</v>
      </c>
      <c r="E570" s="178"/>
      <c r="F570" s="178">
        <v>227028.3</v>
      </c>
      <c r="G570" s="198">
        <f t="shared" si="15"/>
        <v>61382666.41075018</v>
      </c>
    </row>
    <row r="571" spans="1:142" s="75" customFormat="1" ht="42.75" hidden="1" customHeight="1" x14ac:dyDescent="0.25">
      <c r="A571" s="86">
        <v>44746</v>
      </c>
      <c r="B571" s="87" t="s">
        <v>993</v>
      </c>
      <c r="C571" s="85" t="s">
        <v>994</v>
      </c>
      <c r="D571" s="85" t="s">
        <v>1119</v>
      </c>
      <c r="E571" s="178"/>
      <c r="F571" s="178">
        <v>639195.80000000005</v>
      </c>
      <c r="G571" s="198">
        <f t="shared" si="15"/>
        <v>60743470.610750183</v>
      </c>
    </row>
    <row r="572" spans="1:142" s="75" customFormat="1" ht="16.5" hidden="1" customHeight="1" x14ac:dyDescent="0.25">
      <c r="A572" s="86">
        <v>44746</v>
      </c>
      <c r="B572" s="87"/>
      <c r="C572" s="85" t="s">
        <v>22</v>
      </c>
      <c r="D572" s="85" t="s">
        <v>22</v>
      </c>
      <c r="E572" s="178">
        <v>40375</v>
      </c>
      <c r="F572" s="178"/>
      <c r="G572" s="198">
        <f t="shared" si="15"/>
        <v>60783845.610750183</v>
      </c>
    </row>
    <row r="573" spans="1:142" s="75" customFormat="1" ht="16.5" hidden="1" customHeight="1" x14ac:dyDescent="0.25">
      <c r="A573" s="86">
        <v>44746</v>
      </c>
      <c r="B573" s="87"/>
      <c r="C573" s="85" t="s">
        <v>13</v>
      </c>
      <c r="D573" s="85" t="s">
        <v>48</v>
      </c>
      <c r="E573" s="178">
        <v>530</v>
      </c>
      <c r="F573" s="178">
        <f>E573*0.025</f>
        <v>13.25</v>
      </c>
      <c r="G573" s="198">
        <f t="shared" si="15"/>
        <v>60784362.360750183</v>
      </c>
    </row>
    <row r="574" spans="1:142" s="75" customFormat="1" ht="16.5" hidden="1" customHeight="1" x14ac:dyDescent="0.25">
      <c r="A574" s="86">
        <v>44746</v>
      </c>
      <c r="B574" s="87"/>
      <c r="C574" s="85" t="s">
        <v>13</v>
      </c>
      <c r="D574" s="85" t="s">
        <v>48</v>
      </c>
      <c r="E574" s="178">
        <v>200</v>
      </c>
      <c r="F574" s="178">
        <f t="shared" ref="F574:F583" si="16">E574*0.025</f>
        <v>5</v>
      </c>
      <c r="G574" s="198">
        <f t="shared" si="15"/>
        <v>60784557.360750183</v>
      </c>
    </row>
    <row r="575" spans="1:142" s="75" customFormat="1" ht="16.5" hidden="1" customHeight="1" x14ac:dyDescent="0.25">
      <c r="A575" s="86">
        <v>44746</v>
      </c>
      <c r="B575" s="87"/>
      <c r="C575" s="85" t="s">
        <v>13</v>
      </c>
      <c r="D575" s="85" t="s">
        <v>48</v>
      </c>
      <c r="E575" s="178">
        <v>800</v>
      </c>
      <c r="F575" s="178">
        <f t="shared" si="16"/>
        <v>20</v>
      </c>
      <c r="G575" s="198">
        <f t="shared" si="15"/>
        <v>60785337.360750183</v>
      </c>
    </row>
    <row r="576" spans="1:142" s="75" customFormat="1" ht="16.5" hidden="1" customHeight="1" x14ac:dyDescent="0.25">
      <c r="A576" s="86">
        <v>44746</v>
      </c>
      <c r="B576" s="87"/>
      <c r="C576" s="85" t="s">
        <v>13</v>
      </c>
      <c r="D576" s="85" t="s">
        <v>48</v>
      </c>
      <c r="E576" s="178">
        <v>531.4</v>
      </c>
      <c r="F576" s="178">
        <f t="shared" si="16"/>
        <v>13.285</v>
      </c>
      <c r="G576" s="198">
        <f t="shared" si="15"/>
        <v>60785855.475750186</v>
      </c>
    </row>
    <row r="577" spans="1:7" s="75" customFormat="1" ht="16.5" hidden="1" customHeight="1" x14ac:dyDescent="0.25">
      <c r="A577" s="86">
        <v>44746</v>
      </c>
      <c r="B577" s="87"/>
      <c r="C577" s="85" t="s">
        <v>13</v>
      </c>
      <c r="D577" s="85" t="s">
        <v>48</v>
      </c>
      <c r="E577" s="178">
        <v>798.04</v>
      </c>
      <c r="F577" s="178">
        <f t="shared" si="16"/>
        <v>19.951000000000001</v>
      </c>
      <c r="G577" s="199">
        <f t="shared" si="15"/>
        <v>60786633.564750187</v>
      </c>
    </row>
    <row r="578" spans="1:7" s="75" customFormat="1" ht="57.75" hidden="1" customHeight="1" x14ac:dyDescent="0.25">
      <c r="A578" s="201">
        <v>37472</v>
      </c>
      <c r="B578" s="187" t="s">
        <v>1003</v>
      </c>
      <c r="C578" s="202" t="s">
        <v>1004</v>
      </c>
      <c r="D578" s="202" t="s">
        <v>1005</v>
      </c>
      <c r="E578" s="194"/>
      <c r="F578" s="211">
        <v>191874</v>
      </c>
      <c r="G578" s="198">
        <f t="shared" si="15"/>
        <v>60594759.564750187</v>
      </c>
    </row>
    <row r="579" spans="1:7" s="75" customFormat="1" ht="16.5" hidden="1" customHeight="1" x14ac:dyDescent="0.25">
      <c r="A579" s="86">
        <v>44777</v>
      </c>
      <c r="B579" s="87"/>
      <c r="C579" s="85" t="s">
        <v>22</v>
      </c>
      <c r="D579" s="85" t="s">
        <v>22</v>
      </c>
      <c r="E579" s="178">
        <v>33956</v>
      </c>
      <c r="F579" s="178"/>
      <c r="G579" s="198">
        <f t="shared" si="15"/>
        <v>60628715.564750187</v>
      </c>
    </row>
    <row r="580" spans="1:7" s="75" customFormat="1" ht="16.5" hidden="1" customHeight="1" x14ac:dyDescent="0.25">
      <c r="A580" s="86">
        <v>44777</v>
      </c>
      <c r="B580" s="87"/>
      <c r="C580" s="85" t="s">
        <v>13</v>
      </c>
      <c r="D580" s="85" t="s">
        <v>48</v>
      </c>
      <c r="E580" s="81">
        <v>472</v>
      </c>
      <c r="F580" s="178">
        <f t="shared" si="16"/>
        <v>11.8</v>
      </c>
      <c r="G580" s="198">
        <f t="shared" si="15"/>
        <v>60629175.76475019</v>
      </c>
    </row>
    <row r="581" spans="1:7" s="75" customFormat="1" ht="16.5" hidden="1" customHeight="1" x14ac:dyDescent="0.25">
      <c r="A581" s="86">
        <v>44777</v>
      </c>
      <c r="B581" s="87"/>
      <c r="C581" s="85" t="s">
        <v>13</v>
      </c>
      <c r="D581" s="85" t="s">
        <v>48</v>
      </c>
      <c r="E581" s="81">
        <v>121</v>
      </c>
      <c r="F581" s="178">
        <f t="shared" si="16"/>
        <v>3.0250000000000004</v>
      </c>
      <c r="G581" s="198">
        <f t="shared" si="15"/>
        <v>60629293.739750192</v>
      </c>
    </row>
    <row r="582" spans="1:7" s="75" customFormat="1" ht="16.5" hidden="1" customHeight="1" x14ac:dyDescent="0.25">
      <c r="A582" s="86">
        <v>44777</v>
      </c>
      <c r="B582" s="87"/>
      <c r="C582" s="85" t="s">
        <v>13</v>
      </c>
      <c r="D582" s="85" t="s">
        <v>48</v>
      </c>
      <c r="E582" s="81">
        <v>751</v>
      </c>
      <c r="F582" s="178">
        <f t="shared" si="16"/>
        <v>18.775000000000002</v>
      </c>
      <c r="G582" s="198">
        <f t="shared" si="15"/>
        <v>60630025.964750193</v>
      </c>
    </row>
    <row r="583" spans="1:7" s="75" customFormat="1" ht="16.5" hidden="1" customHeight="1" x14ac:dyDescent="0.25">
      <c r="A583" s="86">
        <v>44777</v>
      </c>
      <c r="B583" s="87"/>
      <c r="C583" s="85" t="s">
        <v>13</v>
      </c>
      <c r="D583" s="85" t="s">
        <v>48</v>
      </c>
      <c r="E583" s="81">
        <v>860</v>
      </c>
      <c r="F583" s="178">
        <f t="shared" si="16"/>
        <v>21.5</v>
      </c>
      <c r="G583" s="198">
        <f t="shared" si="15"/>
        <v>60630864.464750193</v>
      </c>
    </row>
    <row r="584" spans="1:7" s="75" customFormat="1" ht="16.5" hidden="1" customHeight="1" x14ac:dyDescent="0.25">
      <c r="A584" s="86">
        <v>44777</v>
      </c>
      <c r="B584" s="87"/>
      <c r="C584" s="85" t="s">
        <v>12</v>
      </c>
      <c r="D584" s="76" t="s">
        <v>590</v>
      </c>
      <c r="E584" s="81">
        <v>145060.10999999999</v>
      </c>
      <c r="F584" s="76"/>
      <c r="G584" s="198">
        <f t="shared" si="15"/>
        <v>60775924.574750192</v>
      </c>
    </row>
    <row r="585" spans="1:7" s="75" customFormat="1" ht="16.5" hidden="1" customHeight="1" x14ac:dyDescent="0.25">
      <c r="A585" s="86">
        <v>44777</v>
      </c>
      <c r="B585" s="87"/>
      <c r="C585" s="85" t="s">
        <v>12</v>
      </c>
      <c r="D585" s="76" t="s">
        <v>82</v>
      </c>
      <c r="E585" s="81">
        <v>288943.96000000002</v>
      </c>
      <c r="F585" s="76"/>
      <c r="G585" s="198">
        <f t="shared" si="15"/>
        <v>61064868.534750193</v>
      </c>
    </row>
    <row r="586" spans="1:7" s="75" customFormat="1" ht="16.5" hidden="1" customHeight="1" x14ac:dyDescent="0.25">
      <c r="A586" s="86">
        <v>44777</v>
      </c>
      <c r="B586" s="87"/>
      <c r="C586" s="85" t="s">
        <v>12</v>
      </c>
      <c r="D586" s="76" t="s">
        <v>25</v>
      </c>
      <c r="E586" s="81">
        <v>83630.34</v>
      </c>
      <c r="F586" s="76"/>
      <c r="G586" s="199">
        <f t="shared" si="15"/>
        <v>61148498.874750197</v>
      </c>
    </row>
    <row r="587" spans="1:7" s="75" customFormat="1" ht="16.5" hidden="1" customHeight="1" x14ac:dyDescent="0.25">
      <c r="A587" s="86">
        <v>44869</v>
      </c>
      <c r="B587" s="87"/>
      <c r="C587" s="85" t="s">
        <v>22</v>
      </c>
      <c r="D587" s="85" t="s">
        <v>22</v>
      </c>
      <c r="E587" s="81">
        <v>24976</v>
      </c>
      <c r="F587" s="76"/>
      <c r="G587" s="198">
        <f t="shared" si="15"/>
        <v>61173474.874750197</v>
      </c>
    </row>
    <row r="588" spans="1:7" s="75" customFormat="1" ht="16.5" hidden="1" customHeight="1" x14ac:dyDescent="0.25">
      <c r="A588" s="86">
        <v>44869</v>
      </c>
      <c r="B588" s="87"/>
      <c r="C588" s="85" t="s">
        <v>13</v>
      </c>
      <c r="D588" s="85" t="s">
        <v>48</v>
      </c>
      <c r="E588" s="81">
        <v>2525</v>
      </c>
      <c r="F588" s="178">
        <f>E588*0.025</f>
        <v>63.125</v>
      </c>
      <c r="G588" s="198">
        <f t="shared" si="15"/>
        <v>61175936.749750197</v>
      </c>
    </row>
    <row r="589" spans="1:7" s="75" customFormat="1" ht="16.5" hidden="1" customHeight="1" x14ac:dyDescent="0.25">
      <c r="A589" s="86">
        <v>44869</v>
      </c>
      <c r="B589" s="87"/>
      <c r="C589" s="85" t="s">
        <v>13</v>
      </c>
      <c r="D589" s="85" t="s">
        <v>48</v>
      </c>
      <c r="E589" s="81">
        <v>740.4</v>
      </c>
      <c r="F589" s="178">
        <f>E589*0.025</f>
        <v>18.510000000000002</v>
      </c>
      <c r="G589" s="198">
        <f t="shared" si="15"/>
        <v>61176658.639750198</v>
      </c>
    </row>
    <row r="590" spans="1:7" s="75" customFormat="1" ht="16.5" hidden="1" customHeight="1" x14ac:dyDescent="0.25">
      <c r="A590" s="86">
        <v>44869</v>
      </c>
      <c r="B590" s="87"/>
      <c r="C590" s="85" t="s">
        <v>13</v>
      </c>
      <c r="D590" s="85" t="s">
        <v>48</v>
      </c>
      <c r="E590" s="81">
        <v>1760.4</v>
      </c>
      <c r="F590" s="178">
        <f>E590*0.025</f>
        <v>44.010000000000005</v>
      </c>
      <c r="G590" s="198">
        <f t="shared" si="15"/>
        <v>61178375.029750198</v>
      </c>
    </row>
    <row r="591" spans="1:7" s="75" customFormat="1" ht="16.5" hidden="1" customHeight="1" x14ac:dyDescent="0.25">
      <c r="A591" s="86">
        <v>44869</v>
      </c>
      <c r="B591" s="87"/>
      <c r="C591" s="85" t="s">
        <v>13</v>
      </c>
      <c r="D591" s="85" t="s">
        <v>48</v>
      </c>
      <c r="E591" s="81">
        <v>690.4</v>
      </c>
      <c r="F591" s="178">
        <f>E591*0.025</f>
        <v>17.260000000000002</v>
      </c>
      <c r="G591" s="198">
        <f t="shared" si="15"/>
        <v>61179048.169750199</v>
      </c>
    </row>
    <row r="592" spans="1:7" s="75" customFormat="1" ht="16.5" hidden="1" customHeight="1" x14ac:dyDescent="0.25">
      <c r="A592" s="86">
        <v>44869</v>
      </c>
      <c r="B592" s="87"/>
      <c r="C592" s="85" t="s">
        <v>13</v>
      </c>
      <c r="D592" s="85" t="s">
        <v>48</v>
      </c>
      <c r="E592" s="81">
        <v>1500</v>
      </c>
      <c r="F592" s="178">
        <f>E592*0.025</f>
        <v>37.5</v>
      </c>
      <c r="G592" s="199">
        <f t="shared" si="15"/>
        <v>61180510.669750199</v>
      </c>
    </row>
    <row r="593" spans="1:7" s="75" customFormat="1" ht="49.5" hidden="1" customHeight="1" x14ac:dyDescent="0.25">
      <c r="A593" s="201">
        <v>44899</v>
      </c>
      <c r="B593" s="187" t="s">
        <v>1006</v>
      </c>
      <c r="C593" s="202" t="s">
        <v>1007</v>
      </c>
      <c r="D593" s="202" t="s">
        <v>1008</v>
      </c>
      <c r="E593" s="190"/>
      <c r="F593" s="194">
        <v>1193450.4099999999</v>
      </c>
      <c r="G593" s="198">
        <f t="shared" si="15"/>
        <v>59987060.259750202</v>
      </c>
    </row>
    <row r="594" spans="1:7" s="75" customFormat="1" ht="16.5" hidden="1" customHeight="1" x14ac:dyDescent="0.25">
      <c r="A594" s="86">
        <v>44899</v>
      </c>
      <c r="B594" s="87" t="s">
        <v>1009</v>
      </c>
      <c r="C594" s="85" t="s">
        <v>991</v>
      </c>
      <c r="D594" s="85" t="s">
        <v>1010</v>
      </c>
      <c r="E594" s="81"/>
      <c r="F594" s="178">
        <v>1347100</v>
      </c>
      <c r="G594" s="198">
        <f t="shared" si="15"/>
        <v>58639960.259750202</v>
      </c>
    </row>
    <row r="595" spans="1:7" s="75" customFormat="1" ht="16.5" hidden="1" customHeight="1" x14ac:dyDescent="0.25">
      <c r="A595" s="86">
        <v>44899</v>
      </c>
      <c r="B595" s="87" t="s">
        <v>1011</v>
      </c>
      <c r="C595" s="85" t="s">
        <v>1012</v>
      </c>
      <c r="D595" s="85" t="s">
        <v>1120</v>
      </c>
      <c r="E595" s="81"/>
      <c r="F595" s="178">
        <v>1005693.75</v>
      </c>
      <c r="G595" s="198">
        <f t="shared" si="15"/>
        <v>57634266.509750202</v>
      </c>
    </row>
    <row r="596" spans="1:7" s="75" customFormat="1" ht="31.5" hidden="1" x14ac:dyDescent="0.25">
      <c r="A596" s="86">
        <v>44899</v>
      </c>
      <c r="B596" s="87" t="s">
        <v>1013</v>
      </c>
      <c r="C596" s="85" t="s">
        <v>1014</v>
      </c>
      <c r="D596" s="85" t="s">
        <v>1015</v>
      </c>
      <c r="E596" s="81"/>
      <c r="F596" s="178">
        <v>1697825</v>
      </c>
      <c r="G596" s="198">
        <f t="shared" si="15"/>
        <v>55936441.509750202</v>
      </c>
    </row>
    <row r="597" spans="1:7" s="75" customFormat="1" ht="47.25" hidden="1" x14ac:dyDescent="0.25">
      <c r="A597" s="86">
        <v>44899</v>
      </c>
      <c r="B597" s="87" t="s">
        <v>1016</v>
      </c>
      <c r="C597" s="85" t="s">
        <v>996</v>
      </c>
      <c r="D597" s="85" t="s">
        <v>1017</v>
      </c>
      <c r="E597" s="81"/>
      <c r="F597" s="178">
        <v>1315275</v>
      </c>
      <c r="G597" s="198">
        <f t="shared" si="15"/>
        <v>54621166.509750202</v>
      </c>
    </row>
    <row r="598" spans="1:7" s="75" customFormat="1" ht="16.5" hidden="1" customHeight="1" x14ac:dyDescent="0.25">
      <c r="A598" s="86">
        <v>44899</v>
      </c>
      <c r="B598" s="87" t="s">
        <v>1018</v>
      </c>
      <c r="C598" s="85" t="s">
        <v>1019</v>
      </c>
      <c r="D598" s="85" t="s">
        <v>1020</v>
      </c>
      <c r="E598" s="81"/>
      <c r="F598" s="178">
        <v>1134816.8</v>
      </c>
      <c r="G598" s="198">
        <f t="shared" si="15"/>
        <v>53486349.709750205</v>
      </c>
    </row>
    <row r="599" spans="1:7" s="75" customFormat="1" ht="37.5" hidden="1" customHeight="1" x14ac:dyDescent="0.25">
      <c r="A599" s="86">
        <v>44899</v>
      </c>
      <c r="B599" s="87" t="s">
        <v>1021</v>
      </c>
      <c r="C599" s="85" t="s">
        <v>1022</v>
      </c>
      <c r="D599" s="85" t="s">
        <v>1023</v>
      </c>
      <c r="E599" s="81"/>
      <c r="F599" s="178">
        <v>854983.5</v>
      </c>
      <c r="G599" s="198">
        <f t="shared" si="15"/>
        <v>52631366.209750205</v>
      </c>
    </row>
    <row r="600" spans="1:7" s="75" customFormat="1" ht="16.5" hidden="1" customHeight="1" x14ac:dyDescent="0.25">
      <c r="A600" s="86">
        <v>44899</v>
      </c>
      <c r="B600" s="87" t="s">
        <v>1024</v>
      </c>
      <c r="C600" s="85" t="s">
        <v>1025</v>
      </c>
      <c r="D600" s="85" t="s">
        <v>1026</v>
      </c>
      <c r="E600" s="81"/>
      <c r="F600" s="178">
        <v>779933.55</v>
      </c>
      <c r="G600" s="198">
        <f t="shared" si="15"/>
        <v>51851432.659750208</v>
      </c>
    </row>
    <row r="601" spans="1:7" s="75" customFormat="1" ht="47.25" hidden="1" x14ac:dyDescent="0.25">
      <c r="A601" s="86">
        <v>44899</v>
      </c>
      <c r="B601" s="87" t="s">
        <v>1027</v>
      </c>
      <c r="C601" s="85" t="s">
        <v>1028</v>
      </c>
      <c r="D601" s="85" t="s">
        <v>1121</v>
      </c>
      <c r="E601" s="81"/>
      <c r="F601" s="178">
        <v>510311.44</v>
      </c>
      <c r="G601" s="198">
        <f t="shared" si="15"/>
        <v>51341121.219750211</v>
      </c>
    </row>
    <row r="602" spans="1:7" s="75" customFormat="1" ht="16.5" hidden="1" customHeight="1" x14ac:dyDescent="0.25">
      <c r="A602" s="86">
        <v>44899</v>
      </c>
      <c r="B602" s="87"/>
      <c r="C602" s="85" t="s">
        <v>22</v>
      </c>
      <c r="D602" s="85" t="s">
        <v>22</v>
      </c>
      <c r="E602" s="81">
        <v>50252</v>
      </c>
      <c r="F602" s="81"/>
      <c r="G602" s="198">
        <f t="shared" si="15"/>
        <v>51391373.219750211</v>
      </c>
    </row>
    <row r="603" spans="1:7" s="75" customFormat="1" ht="16.5" hidden="1" customHeight="1" x14ac:dyDescent="0.25">
      <c r="A603" s="86">
        <v>44899</v>
      </c>
      <c r="B603" s="87"/>
      <c r="C603" s="85" t="s">
        <v>13</v>
      </c>
      <c r="D603" s="85" t="s">
        <v>48</v>
      </c>
      <c r="E603" s="81">
        <v>100</v>
      </c>
      <c r="F603" s="81">
        <f>E603*0.025</f>
        <v>2.5</v>
      </c>
      <c r="G603" s="198">
        <f t="shared" si="15"/>
        <v>51391470.719750211</v>
      </c>
    </row>
    <row r="604" spans="1:7" s="75" customFormat="1" ht="16.5" hidden="1" customHeight="1" x14ac:dyDescent="0.25">
      <c r="A604" s="86">
        <v>44899</v>
      </c>
      <c r="B604" s="87"/>
      <c r="C604" s="85" t="s">
        <v>13</v>
      </c>
      <c r="D604" s="85" t="s">
        <v>48</v>
      </c>
      <c r="E604" s="81">
        <v>131</v>
      </c>
      <c r="F604" s="81">
        <f>E604*0.025</f>
        <v>3.2750000000000004</v>
      </c>
      <c r="G604" s="198">
        <f t="shared" si="15"/>
        <v>51391598.444750212</v>
      </c>
    </row>
    <row r="605" spans="1:7" s="75" customFormat="1" ht="16.5" hidden="1" customHeight="1" x14ac:dyDescent="0.25">
      <c r="A605" s="86">
        <v>44899</v>
      </c>
      <c r="B605" s="87"/>
      <c r="C605" s="85" t="s">
        <v>13</v>
      </c>
      <c r="D605" s="85" t="s">
        <v>48</v>
      </c>
      <c r="E605" s="81">
        <v>1172</v>
      </c>
      <c r="F605" s="81">
        <f>E605*0.025</f>
        <v>29.3</v>
      </c>
      <c r="G605" s="198">
        <f t="shared" si="15"/>
        <v>51392741.144750215</v>
      </c>
    </row>
    <row r="606" spans="1:7" s="75" customFormat="1" ht="16.5" hidden="1" customHeight="1" x14ac:dyDescent="0.25">
      <c r="A606" s="86">
        <v>44899</v>
      </c>
      <c r="B606" s="87"/>
      <c r="C606" s="85" t="s">
        <v>12</v>
      </c>
      <c r="D606" s="76" t="s">
        <v>25</v>
      </c>
      <c r="E606" s="81">
        <v>100818.49</v>
      </c>
      <c r="F606" s="81"/>
      <c r="G606" s="199">
        <f t="shared" si="15"/>
        <v>51493559.634750217</v>
      </c>
    </row>
    <row r="607" spans="1:7" s="75" customFormat="1" ht="16.5" hidden="1" customHeight="1" x14ac:dyDescent="0.25">
      <c r="A607" s="86" t="s">
        <v>981</v>
      </c>
      <c r="B607" s="87"/>
      <c r="C607" s="85" t="s">
        <v>22</v>
      </c>
      <c r="D607" s="85" t="s">
        <v>22</v>
      </c>
      <c r="E607" s="81">
        <v>43747</v>
      </c>
      <c r="F607" s="81"/>
      <c r="G607" s="198">
        <f t="shared" si="15"/>
        <v>51537306.634750217</v>
      </c>
    </row>
    <row r="608" spans="1:7" s="75" customFormat="1" ht="16.5" hidden="1" customHeight="1" x14ac:dyDescent="0.25">
      <c r="A608" s="86" t="s">
        <v>981</v>
      </c>
      <c r="B608" s="87"/>
      <c r="C608" s="85" t="s">
        <v>13</v>
      </c>
      <c r="D608" s="85" t="s">
        <v>48</v>
      </c>
      <c r="E608" s="81">
        <v>450</v>
      </c>
      <c r="F608" s="81">
        <f>E608*0.025</f>
        <v>11.25</v>
      </c>
      <c r="G608" s="198">
        <f t="shared" si="15"/>
        <v>51537745.384750217</v>
      </c>
    </row>
    <row r="609" spans="1:7" s="75" customFormat="1" ht="16.5" hidden="1" customHeight="1" x14ac:dyDescent="0.25">
      <c r="A609" s="86" t="s">
        <v>981</v>
      </c>
      <c r="B609" s="87"/>
      <c r="C609" s="85" t="s">
        <v>13</v>
      </c>
      <c r="D609" s="85" t="s">
        <v>48</v>
      </c>
      <c r="E609" s="81">
        <v>1324.42</v>
      </c>
      <c r="F609" s="81">
        <f>E609*0.025</f>
        <v>33.110500000000002</v>
      </c>
      <c r="G609" s="198">
        <f t="shared" si="15"/>
        <v>51539036.694250219</v>
      </c>
    </row>
    <row r="610" spans="1:7" s="75" customFormat="1" ht="16.5" hidden="1" customHeight="1" x14ac:dyDescent="0.25">
      <c r="A610" s="86" t="s">
        <v>981</v>
      </c>
      <c r="B610" s="87"/>
      <c r="C610" s="85" t="s">
        <v>13</v>
      </c>
      <c r="D610" s="85" t="s">
        <v>48</v>
      </c>
      <c r="E610" s="81">
        <v>2173.1799999999998</v>
      </c>
      <c r="F610" s="81">
        <f>E610*0.025</f>
        <v>54.329499999999996</v>
      </c>
      <c r="G610" s="198">
        <f t="shared" si="15"/>
        <v>51541155.544750221</v>
      </c>
    </row>
    <row r="611" spans="1:7" s="75" customFormat="1" ht="16.5" hidden="1" customHeight="1" x14ac:dyDescent="0.25">
      <c r="A611" s="86" t="s">
        <v>981</v>
      </c>
      <c r="B611" s="87"/>
      <c r="C611" s="85" t="s">
        <v>13</v>
      </c>
      <c r="D611" s="85" t="s">
        <v>48</v>
      </c>
      <c r="E611" s="81">
        <v>600</v>
      </c>
      <c r="F611" s="81">
        <f>E611*0.025</f>
        <v>15</v>
      </c>
      <c r="G611" s="198">
        <f t="shared" si="15"/>
        <v>51541740.544750221</v>
      </c>
    </row>
    <row r="612" spans="1:7" s="75" customFormat="1" ht="16.5" hidden="1" customHeight="1" x14ac:dyDescent="0.25">
      <c r="A612" s="86" t="s">
        <v>981</v>
      </c>
      <c r="B612" s="87"/>
      <c r="C612" s="85" t="s">
        <v>13</v>
      </c>
      <c r="D612" s="85" t="s">
        <v>48</v>
      </c>
      <c r="E612" s="81">
        <v>4356.34</v>
      </c>
      <c r="F612" s="81">
        <f>E612*0.025</f>
        <v>108.9085</v>
      </c>
      <c r="G612" s="198">
        <f t="shared" si="15"/>
        <v>51545987.976250224</v>
      </c>
    </row>
    <row r="613" spans="1:7" s="185" customFormat="1" ht="38.25" hidden="1" customHeight="1" x14ac:dyDescent="0.25">
      <c r="A613" s="200" t="s">
        <v>1029</v>
      </c>
      <c r="B613" s="77" t="s">
        <v>1030</v>
      </c>
      <c r="C613" s="85" t="s">
        <v>1031</v>
      </c>
      <c r="D613" s="85" t="s">
        <v>1032</v>
      </c>
      <c r="E613" s="195"/>
      <c r="F613" s="195">
        <v>337794.86</v>
      </c>
      <c r="G613" s="198">
        <f t="shared" ref="G613:G624" si="17">G612+E613-F613</f>
        <v>51208193.116250224</v>
      </c>
    </row>
    <row r="614" spans="1:7" s="75" customFormat="1" ht="32.25" hidden="1" customHeight="1" x14ac:dyDescent="0.25">
      <c r="A614" s="86" t="s">
        <v>1029</v>
      </c>
      <c r="B614" s="87" t="s">
        <v>1033</v>
      </c>
      <c r="C614" s="85" t="s">
        <v>1028</v>
      </c>
      <c r="D614" s="85" t="s">
        <v>1034</v>
      </c>
      <c r="E614" s="81"/>
      <c r="F614" s="81">
        <v>1205332.6599999999</v>
      </c>
      <c r="G614" s="198">
        <f t="shared" si="17"/>
        <v>50002860.456250228</v>
      </c>
    </row>
    <row r="615" spans="1:7" s="75" customFormat="1" ht="16.5" hidden="1" customHeight="1" x14ac:dyDescent="0.25">
      <c r="A615" s="86" t="s">
        <v>1029</v>
      </c>
      <c r="B615" s="87" t="s">
        <v>1035</v>
      </c>
      <c r="C615" s="85" t="s">
        <v>132</v>
      </c>
      <c r="D615" s="85" t="s">
        <v>1036</v>
      </c>
      <c r="E615" s="81"/>
      <c r="F615" s="81">
        <v>387882</v>
      </c>
      <c r="G615" s="198">
        <f t="shared" si="17"/>
        <v>49614978.456250228</v>
      </c>
    </row>
    <row r="616" spans="1:7" s="75" customFormat="1" ht="16.5" hidden="1" customHeight="1" x14ac:dyDescent="0.25">
      <c r="A616" s="86" t="s">
        <v>1029</v>
      </c>
      <c r="B616" s="87" t="s">
        <v>1039</v>
      </c>
      <c r="C616" s="85" t="s">
        <v>1037</v>
      </c>
      <c r="D616" s="85" t="s">
        <v>1038</v>
      </c>
      <c r="E616" s="81"/>
      <c r="F616" s="81">
        <v>617500</v>
      </c>
      <c r="G616" s="198">
        <f t="shared" si="17"/>
        <v>48997478.456250228</v>
      </c>
    </row>
    <row r="617" spans="1:7" s="75" customFormat="1" ht="16.5" hidden="1" customHeight="1" x14ac:dyDescent="0.25">
      <c r="A617" s="86" t="s">
        <v>1029</v>
      </c>
      <c r="B617" s="87" t="s">
        <v>1040</v>
      </c>
      <c r="C617" s="85" t="s">
        <v>1041</v>
      </c>
      <c r="D617" s="85" t="s">
        <v>1122</v>
      </c>
      <c r="E617" s="81"/>
      <c r="F617" s="81">
        <v>135600</v>
      </c>
      <c r="G617" s="198">
        <f t="shared" si="17"/>
        <v>48861878.456250228</v>
      </c>
    </row>
    <row r="618" spans="1:7" s="75" customFormat="1" ht="16.5" hidden="1" customHeight="1" x14ac:dyDescent="0.25">
      <c r="A618" s="86" t="s">
        <v>1029</v>
      </c>
      <c r="B618" s="87" t="s">
        <v>1042</v>
      </c>
      <c r="C618" s="85" t="s">
        <v>1043</v>
      </c>
      <c r="D618" s="85" t="s">
        <v>1044</v>
      </c>
      <c r="E618" s="81"/>
      <c r="F618" s="81">
        <v>107616</v>
      </c>
      <c r="G618" s="199">
        <f t="shared" si="17"/>
        <v>48754262.456250228</v>
      </c>
    </row>
    <row r="619" spans="1:7" s="75" customFormat="1" ht="16.5" hidden="1" customHeight="1" x14ac:dyDescent="0.25">
      <c r="A619" s="86" t="s">
        <v>1063</v>
      </c>
      <c r="B619" s="87"/>
      <c r="C619" s="85" t="s">
        <v>22</v>
      </c>
      <c r="D619" s="85" t="s">
        <v>22</v>
      </c>
      <c r="E619" s="81">
        <v>19265</v>
      </c>
      <c r="F619" s="81"/>
      <c r="G619" s="198">
        <f t="shared" si="17"/>
        <v>48773527.456250228</v>
      </c>
    </row>
    <row r="620" spans="1:7" s="75" customFormat="1" ht="16.5" hidden="1" customHeight="1" x14ac:dyDescent="0.25">
      <c r="A620" s="86" t="s">
        <v>1063</v>
      </c>
      <c r="B620" s="87"/>
      <c r="C620" s="85" t="s">
        <v>13</v>
      </c>
      <c r="D620" s="85" t="s">
        <v>48</v>
      </c>
      <c r="E620" s="81">
        <v>340</v>
      </c>
      <c r="F620" s="81">
        <f>E620*0.025</f>
        <v>8.5</v>
      </c>
      <c r="G620" s="198">
        <f t="shared" si="17"/>
        <v>48773858.956250228</v>
      </c>
    </row>
    <row r="621" spans="1:7" s="75" customFormat="1" ht="16.5" hidden="1" customHeight="1" x14ac:dyDescent="0.25">
      <c r="A621" s="86" t="s">
        <v>1063</v>
      </c>
      <c r="B621" s="87"/>
      <c r="C621" s="85" t="s">
        <v>13</v>
      </c>
      <c r="D621" s="85" t="s">
        <v>48</v>
      </c>
      <c r="E621" s="81">
        <v>572</v>
      </c>
      <c r="F621" s="81">
        <f>E621*0.025</f>
        <v>14.3</v>
      </c>
      <c r="G621" s="198">
        <f t="shared" si="17"/>
        <v>48774416.656250231</v>
      </c>
    </row>
    <row r="622" spans="1:7" s="75" customFormat="1" ht="16.5" hidden="1" customHeight="1" x14ac:dyDescent="0.25">
      <c r="A622" s="86" t="s">
        <v>1063</v>
      </c>
      <c r="B622" s="87"/>
      <c r="C622" s="85" t="s">
        <v>13</v>
      </c>
      <c r="D622" s="85" t="s">
        <v>48</v>
      </c>
      <c r="E622" s="81">
        <v>872</v>
      </c>
      <c r="F622" s="81">
        <f>E622*0.025</f>
        <v>21.8</v>
      </c>
      <c r="G622" s="198">
        <f t="shared" si="17"/>
        <v>48775266.856250234</v>
      </c>
    </row>
    <row r="623" spans="1:7" s="75" customFormat="1" ht="47.25" hidden="1" x14ac:dyDescent="0.25">
      <c r="A623" s="86" t="s">
        <v>1063</v>
      </c>
      <c r="B623" s="87" t="s">
        <v>1045</v>
      </c>
      <c r="C623" s="85" t="s">
        <v>1046</v>
      </c>
      <c r="D623" s="85" t="s">
        <v>1047</v>
      </c>
      <c r="E623" s="81"/>
      <c r="F623" s="81">
        <v>23000</v>
      </c>
      <c r="G623" s="198">
        <f t="shared" si="17"/>
        <v>48752266.856250234</v>
      </c>
    </row>
    <row r="624" spans="1:7" s="75" customFormat="1" ht="40.5" hidden="1" customHeight="1" x14ac:dyDescent="0.25">
      <c r="A624" s="86" t="s">
        <v>1063</v>
      </c>
      <c r="B624" s="87" t="s">
        <v>1051</v>
      </c>
      <c r="C624" s="85" t="s">
        <v>47</v>
      </c>
      <c r="D624" s="85" t="s">
        <v>1123</v>
      </c>
      <c r="E624" s="81"/>
      <c r="F624" s="81">
        <v>18000</v>
      </c>
      <c r="G624" s="199">
        <f t="shared" si="17"/>
        <v>48734266.856250234</v>
      </c>
    </row>
    <row r="625" spans="1:7" s="75" customFormat="1" ht="15.75" hidden="1" x14ac:dyDescent="0.25">
      <c r="A625" s="203" t="s">
        <v>1110</v>
      </c>
      <c r="B625" s="87"/>
      <c r="C625" s="85" t="s">
        <v>22</v>
      </c>
      <c r="D625" s="85" t="s">
        <v>22</v>
      </c>
      <c r="E625" s="81">
        <v>18421</v>
      </c>
      <c r="F625" s="81"/>
      <c r="G625" s="198">
        <f t="shared" ref="G625:G688" si="18">G624+E625-F625</f>
        <v>48752687.856250234</v>
      </c>
    </row>
    <row r="626" spans="1:7" s="75" customFormat="1" ht="15.75" hidden="1" x14ac:dyDescent="0.25">
      <c r="A626" s="203" t="s">
        <v>1110</v>
      </c>
      <c r="B626" s="87"/>
      <c r="C626" s="85" t="s">
        <v>13</v>
      </c>
      <c r="D626" s="85" t="s">
        <v>48</v>
      </c>
      <c r="E626" s="81">
        <v>509.7</v>
      </c>
      <c r="F626" s="81">
        <f>E626*0.025</f>
        <v>12.7425</v>
      </c>
      <c r="G626" s="198">
        <f t="shared" si="18"/>
        <v>48753184.813750237</v>
      </c>
    </row>
    <row r="627" spans="1:7" s="75" customFormat="1" ht="15.75" hidden="1" x14ac:dyDescent="0.25">
      <c r="A627" s="203" t="s">
        <v>1110</v>
      </c>
      <c r="B627" s="87"/>
      <c r="C627" s="85" t="s">
        <v>13</v>
      </c>
      <c r="D627" s="85" t="s">
        <v>48</v>
      </c>
      <c r="E627" s="81">
        <v>121</v>
      </c>
      <c r="F627" s="81">
        <f>E627*0.025</f>
        <v>3.0250000000000004</v>
      </c>
      <c r="G627" s="198">
        <f t="shared" si="18"/>
        <v>48753302.788750239</v>
      </c>
    </row>
    <row r="628" spans="1:7" s="75" customFormat="1" ht="15.75" hidden="1" x14ac:dyDescent="0.25">
      <c r="A628" s="203" t="s">
        <v>1110</v>
      </c>
      <c r="B628" s="87"/>
      <c r="C628" s="85" t="s">
        <v>12</v>
      </c>
      <c r="D628" s="85" t="s">
        <v>1111</v>
      </c>
      <c r="E628" s="81">
        <v>2929810.93</v>
      </c>
      <c r="F628" s="81"/>
      <c r="G628" s="198">
        <f t="shared" si="18"/>
        <v>51683113.718750238</v>
      </c>
    </row>
    <row r="629" spans="1:7" s="75" customFormat="1" ht="15.75" hidden="1" x14ac:dyDescent="0.25">
      <c r="A629" s="203" t="s">
        <v>1110</v>
      </c>
      <c r="B629" s="87"/>
      <c r="C629" s="85" t="s">
        <v>12</v>
      </c>
      <c r="D629" s="85" t="s">
        <v>1111</v>
      </c>
      <c r="E629" s="81">
        <v>212428.96</v>
      </c>
      <c r="F629" s="81"/>
      <c r="G629" s="198">
        <f t="shared" si="18"/>
        <v>51895542.678750239</v>
      </c>
    </row>
    <row r="630" spans="1:7" s="75" customFormat="1" ht="15.75" hidden="1" x14ac:dyDescent="0.25">
      <c r="A630" s="203" t="s">
        <v>1110</v>
      </c>
      <c r="B630" s="87" t="s">
        <v>1124</v>
      </c>
      <c r="C630" s="85" t="s">
        <v>32</v>
      </c>
      <c r="D630" s="85" t="s">
        <v>1125</v>
      </c>
      <c r="E630" s="81">
        <v>31557936.07</v>
      </c>
      <c r="F630" s="81"/>
      <c r="G630" s="198">
        <f t="shared" si="18"/>
        <v>83453478.74875024</v>
      </c>
    </row>
    <row r="631" spans="1:7" s="75" customFormat="1" ht="31.5" hidden="1" x14ac:dyDescent="0.25">
      <c r="A631" s="203" t="s">
        <v>1110</v>
      </c>
      <c r="B631" s="87" t="s">
        <v>1124</v>
      </c>
      <c r="C631" s="85" t="s">
        <v>32</v>
      </c>
      <c r="D631" s="85" t="s">
        <v>1126</v>
      </c>
      <c r="E631" s="81"/>
      <c r="F631" s="81">
        <v>24266514.600000001</v>
      </c>
      <c r="G631" s="198">
        <f t="shared" si="18"/>
        <v>59186964.148750238</v>
      </c>
    </row>
    <row r="632" spans="1:7" s="75" customFormat="1" ht="31.5" hidden="1" x14ac:dyDescent="0.25">
      <c r="A632" s="203" t="s">
        <v>1110</v>
      </c>
      <c r="B632" s="87" t="s">
        <v>1124</v>
      </c>
      <c r="C632" s="85" t="s">
        <v>32</v>
      </c>
      <c r="D632" s="85" t="s">
        <v>1127</v>
      </c>
      <c r="E632" s="81"/>
      <c r="F632" s="81">
        <v>3882022.08</v>
      </c>
      <c r="G632" s="198">
        <f t="shared" si="18"/>
        <v>55304942.06875024</v>
      </c>
    </row>
    <row r="633" spans="1:7" s="75" customFormat="1" ht="31.5" hidden="1" x14ac:dyDescent="0.25">
      <c r="A633" s="203" t="s">
        <v>1110</v>
      </c>
      <c r="B633" s="87" t="s">
        <v>1124</v>
      </c>
      <c r="C633" s="85" t="s">
        <v>32</v>
      </c>
      <c r="D633" s="85" t="s">
        <v>1128</v>
      </c>
      <c r="E633" s="81"/>
      <c r="F633" s="81">
        <v>3090930.7</v>
      </c>
      <c r="G633" s="198">
        <f t="shared" si="18"/>
        <v>52214011.368750237</v>
      </c>
    </row>
    <row r="634" spans="1:7" s="75" customFormat="1" ht="15.75" hidden="1" x14ac:dyDescent="0.25">
      <c r="A634" s="203" t="s">
        <v>1110</v>
      </c>
      <c r="B634" s="87" t="s">
        <v>1124</v>
      </c>
      <c r="C634" s="85" t="s">
        <v>32</v>
      </c>
      <c r="D634" s="85" t="s">
        <v>1129</v>
      </c>
      <c r="E634" s="81"/>
      <c r="F634" s="81">
        <v>318468.69</v>
      </c>
      <c r="G634" s="198">
        <f t="shared" si="18"/>
        <v>51895542.678750239</v>
      </c>
    </row>
    <row r="635" spans="1:7" s="75" customFormat="1" ht="15.75" hidden="1" x14ac:dyDescent="0.25">
      <c r="A635" s="203" t="s">
        <v>1110</v>
      </c>
      <c r="B635" s="87" t="s">
        <v>1130</v>
      </c>
      <c r="C635" s="85" t="s">
        <v>32</v>
      </c>
      <c r="D635" s="85" t="s">
        <v>1131</v>
      </c>
      <c r="E635" s="81"/>
      <c r="F635" s="81">
        <v>8534360.9199999999</v>
      </c>
      <c r="G635" s="198">
        <f t="shared" si="18"/>
        <v>43361181.758750238</v>
      </c>
    </row>
    <row r="636" spans="1:7" s="75" customFormat="1" ht="15.75" hidden="1" x14ac:dyDescent="0.25">
      <c r="A636" s="203" t="s">
        <v>1110</v>
      </c>
      <c r="B636" s="87" t="s">
        <v>1132</v>
      </c>
      <c r="C636" s="85" t="s">
        <v>32</v>
      </c>
      <c r="D636" s="85" t="s">
        <v>1133</v>
      </c>
      <c r="E636" s="81"/>
      <c r="F636" s="81">
        <v>78000</v>
      </c>
      <c r="G636" s="198">
        <f t="shared" si="18"/>
        <v>43283181.758750238</v>
      </c>
    </row>
    <row r="637" spans="1:7" s="75" customFormat="1" ht="15.75" hidden="1" x14ac:dyDescent="0.25">
      <c r="A637" s="203" t="s">
        <v>1110</v>
      </c>
      <c r="B637" s="87" t="s">
        <v>1134</v>
      </c>
      <c r="C637" s="85" t="s">
        <v>32</v>
      </c>
      <c r="D637" s="85" t="s">
        <v>1135</v>
      </c>
      <c r="E637" s="81"/>
      <c r="F637" s="81">
        <v>948740.03</v>
      </c>
      <c r="G637" s="199">
        <f t="shared" si="18"/>
        <v>42334441.728750236</v>
      </c>
    </row>
    <row r="638" spans="1:7" s="75" customFormat="1" ht="15.75" hidden="1" x14ac:dyDescent="0.25">
      <c r="A638" s="203" t="s">
        <v>1112</v>
      </c>
      <c r="B638" s="87"/>
      <c r="C638" s="85" t="s">
        <v>22</v>
      </c>
      <c r="D638" s="85" t="s">
        <v>22</v>
      </c>
      <c r="E638" s="81">
        <v>40860</v>
      </c>
      <c r="F638" s="81"/>
      <c r="G638" s="198">
        <f t="shared" si="18"/>
        <v>42375301.728750236</v>
      </c>
    </row>
    <row r="639" spans="1:7" s="75" customFormat="1" ht="15.75" hidden="1" x14ac:dyDescent="0.25">
      <c r="A639" s="203" t="s">
        <v>1112</v>
      </c>
      <c r="B639" s="87"/>
      <c r="C639" s="85" t="s">
        <v>13</v>
      </c>
      <c r="D639" s="85" t="s">
        <v>48</v>
      </c>
      <c r="E639" s="81">
        <v>1300</v>
      </c>
      <c r="F639" s="81">
        <f>E639*0.025</f>
        <v>32.5</v>
      </c>
      <c r="G639" s="198">
        <f t="shared" si="18"/>
        <v>42376569.228750236</v>
      </c>
    </row>
    <row r="640" spans="1:7" s="75" customFormat="1" ht="15.75" hidden="1" x14ac:dyDescent="0.25">
      <c r="A640" s="203" t="s">
        <v>1112</v>
      </c>
      <c r="B640" s="87"/>
      <c r="C640" s="85" t="s">
        <v>13</v>
      </c>
      <c r="D640" s="85" t="s">
        <v>48</v>
      </c>
      <c r="E640" s="81">
        <v>209</v>
      </c>
      <c r="F640" s="81">
        <f>E640*0.025</f>
        <v>5.2250000000000005</v>
      </c>
      <c r="G640" s="198">
        <f t="shared" si="18"/>
        <v>42376773.003750235</v>
      </c>
    </row>
    <row r="641" spans="1:7" s="75" customFormat="1" ht="42.75" hidden="1" customHeight="1" x14ac:dyDescent="0.25">
      <c r="A641" s="86" t="s">
        <v>1052</v>
      </c>
      <c r="B641" s="87" t="s">
        <v>1053</v>
      </c>
      <c r="C641" s="85" t="s">
        <v>52</v>
      </c>
      <c r="D641" s="85" t="s">
        <v>1054</v>
      </c>
      <c r="E641" s="81"/>
      <c r="F641" s="81">
        <v>1422366.48</v>
      </c>
      <c r="G641" s="198">
        <f t="shared" si="18"/>
        <v>40954406.523750238</v>
      </c>
    </row>
    <row r="642" spans="1:7" s="75" customFormat="1" ht="31.5" hidden="1" x14ac:dyDescent="0.25">
      <c r="A642" s="86" t="s">
        <v>1052</v>
      </c>
      <c r="B642" s="87" t="s">
        <v>1055</v>
      </c>
      <c r="C642" s="85" t="s">
        <v>1056</v>
      </c>
      <c r="D642" s="85" t="s">
        <v>1057</v>
      </c>
      <c r="E642" s="81"/>
      <c r="F642" s="81">
        <v>90400</v>
      </c>
      <c r="G642" s="198">
        <f t="shared" si="18"/>
        <v>40864006.523750238</v>
      </c>
    </row>
    <row r="643" spans="1:7" s="75" customFormat="1" ht="62.25" hidden="1" customHeight="1" x14ac:dyDescent="0.25">
      <c r="A643" s="87" t="s">
        <v>1112</v>
      </c>
      <c r="B643" s="87" t="s">
        <v>1058</v>
      </c>
      <c r="C643" s="76" t="s">
        <v>1059</v>
      </c>
      <c r="D643" s="85" t="s">
        <v>1060</v>
      </c>
      <c r="E643" s="81"/>
      <c r="F643" s="81">
        <v>115363.98</v>
      </c>
      <c r="G643" s="199">
        <f t="shared" si="18"/>
        <v>40748642.543750241</v>
      </c>
    </row>
    <row r="644" spans="1:7" s="75" customFormat="1" ht="15.75" hidden="1" x14ac:dyDescent="0.25">
      <c r="A644" s="87" t="s">
        <v>1113</v>
      </c>
      <c r="B644" s="87"/>
      <c r="C644" s="85" t="s">
        <v>22</v>
      </c>
      <c r="D644" s="85" t="s">
        <v>22</v>
      </c>
      <c r="E644" s="81">
        <v>31955</v>
      </c>
      <c r="F644" s="81"/>
      <c r="G644" s="198">
        <f t="shared" si="18"/>
        <v>40780597.543750241</v>
      </c>
    </row>
    <row r="645" spans="1:7" s="75" customFormat="1" ht="15.75" hidden="1" x14ac:dyDescent="0.25">
      <c r="A645" s="87" t="s">
        <v>1113</v>
      </c>
      <c r="B645" s="87"/>
      <c r="C645" s="85" t="s">
        <v>13</v>
      </c>
      <c r="D645" s="85" t="s">
        <v>48</v>
      </c>
      <c r="E645" s="81">
        <v>300</v>
      </c>
      <c r="F645" s="81">
        <f>E645*0.025</f>
        <v>7.5</v>
      </c>
      <c r="G645" s="198">
        <f t="shared" si="18"/>
        <v>40780890.043750241</v>
      </c>
    </row>
    <row r="646" spans="1:7" s="75" customFormat="1" ht="15.75" hidden="1" x14ac:dyDescent="0.25">
      <c r="A646" s="87" t="s">
        <v>1113</v>
      </c>
      <c r="B646" s="87"/>
      <c r="C646" s="85" t="s">
        <v>13</v>
      </c>
      <c r="D646" s="85" t="s">
        <v>48</v>
      </c>
      <c r="E646" s="81">
        <v>942</v>
      </c>
      <c r="F646" s="81">
        <f>E646*0.025</f>
        <v>23.55</v>
      </c>
      <c r="G646" s="198">
        <f t="shared" si="18"/>
        <v>40781808.493750244</v>
      </c>
    </row>
    <row r="647" spans="1:7" s="75" customFormat="1" ht="15.75" hidden="1" x14ac:dyDescent="0.25">
      <c r="A647" s="87" t="s">
        <v>1114</v>
      </c>
      <c r="B647" s="87" t="s">
        <v>1061</v>
      </c>
      <c r="C647" s="76" t="s">
        <v>1062</v>
      </c>
      <c r="D647" s="85" t="s">
        <v>1136</v>
      </c>
      <c r="E647" s="76"/>
      <c r="F647" s="81">
        <v>122763.2</v>
      </c>
      <c r="G647" s="199">
        <f t="shared" si="18"/>
        <v>40659045.293750241</v>
      </c>
    </row>
    <row r="648" spans="1:7" s="75" customFormat="1" ht="34.5" hidden="1" customHeight="1" x14ac:dyDescent="0.25">
      <c r="A648" s="87" t="s">
        <v>1118</v>
      </c>
      <c r="B648" s="87"/>
      <c r="C648" s="85" t="s">
        <v>22</v>
      </c>
      <c r="D648" s="85" t="s">
        <v>22</v>
      </c>
      <c r="E648" s="81">
        <v>31301</v>
      </c>
      <c r="F648" s="81"/>
      <c r="G648" s="198">
        <f t="shared" si="18"/>
        <v>40690346.293750241</v>
      </c>
    </row>
    <row r="649" spans="1:7" s="186" customFormat="1" ht="21.75" hidden="1" customHeight="1" x14ac:dyDescent="0.25">
      <c r="A649" s="87" t="s">
        <v>1118</v>
      </c>
      <c r="B649" s="87"/>
      <c r="C649" s="85" t="s">
        <v>13</v>
      </c>
      <c r="D649" s="85" t="s">
        <v>48</v>
      </c>
      <c r="E649" s="81">
        <v>200</v>
      </c>
      <c r="F649" s="81">
        <f>E649*0.025</f>
        <v>5</v>
      </c>
      <c r="G649" s="198">
        <f t="shared" si="18"/>
        <v>40690541.293750241</v>
      </c>
    </row>
    <row r="650" spans="1:7" s="75" customFormat="1" ht="33" hidden="1" customHeight="1" x14ac:dyDescent="0.25">
      <c r="A650" s="87" t="s">
        <v>1118</v>
      </c>
      <c r="B650" s="87"/>
      <c r="C650" s="85" t="s">
        <v>13</v>
      </c>
      <c r="D650" s="85" t="s">
        <v>48</v>
      </c>
      <c r="E650" s="81">
        <v>3000</v>
      </c>
      <c r="F650" s="81">
        <f>E650*0.025</f>
        <v>75</v>
      </c>
      <c r="G650" s="198">
        <f t="shared" si="18"/>
        <v>40693466.293750241</v>
      </c>
    </row>
    <row r="651" spans="1:7" s="75" customFormat="1" ht="35.25" hidden="1" customHeight="1" x14ac:dyDescent="0.25">
      <c r="A651" s="87" t="s">
        <v>1118</v>
      </c>
      <c r="B651" s="87"/>
      <c r="C651" s="85" t="s">
        <v>13</v>
      </c>
      <c r="D651" s="85" t="s">
        <v>48</v>
      </c>
      <c r="E651" s="81">
        <v>500</v>
      </c>
      <c r="F651" s="81">
        <f>E651*0.025</f>
        <v>12.5</v>
      </c>
      <c r="G651" s="198">
        <f t="shared" si="18"/>
        <v>40693953.793750241</v>
      </c>
    </row>
    <row r="652" spans="1:7" s="75" customFormat="1" ht="30.75" hidden="1" customHeight="1" x14ac:dyDescent="0.25">
      <c r="A652" s="87" t="s">
        <v>1118</v>
      </c>
      <c r="B652" s="87"/>
      <c r="C652" s="85" t="s">
        <v>13</v>
      </c>
      <c r="D652" s="85" t="s">
        <v>48</v>
      </c>
      <c r="E652" s="81">
        <v>435</v>
      </c>
      <c r="F652" s="81">
        <f>E652*0.025</f>
        <v>10.875</v>
      </c>
      <c r="G652" s="198">
        <f t="shared" si="18"/>
        <v>40694377.918750241</v>
      </c>
    </row>
    <row r="653" spans="1:7" s="75" customFormat="1" ht="36.75" hidden="1" customHeight="1" x14ac:dyDescent="0.25">
      <c r="A653" s="87" t="s">
        <v>1118</v>
      </c>
      <c r="B653" s="87"/>
      <c r="C653" s="85" t="s">
        <v>13</v>
      </c>
      <c r="D653" s="85" t="s">
        <v>48</v>
      </c>
      <c r="E653" s="81">
        <v>3000</v>
      </c>
      <c r="F653" s="81">
        <f>E653*0.025</f>
        <v>75</v>
      </c>
      <c r="G653" s="199">
        <f t="shared" si="18"/>
        <v>40697302.918750241</v>
      </c>
    </row>
    <row r="654" spans="1:7" s="75" customFormat="1" ht="31.5" hidden="1" x14ac:dyDescent="0.25">
      <c r="A654" s="87" t="s">
        <v>1068</v>
      </c>
      <c r="B654" s="87" t="s">
        <v>1069</v>
      </c>
      <c r="C654" s="76" t="s">
        <v>1070</v>
      </c>
      <c r="D654" s="85" t="s">
        <v>1071</v>
      </c>
      <c r="E654" s="76"/>
      <c r="F654" s="81">
        <v>212863.57</v>
      </c>
      <c r="G654" s="198">
        <f t="shared" si="18"/>
        <v>40484439.348750241</v>
      </c>
    </row>
    <row r="655" spans="1:7" s="75" customFormat="1" ht="15.75" hidden="1" x14ac:dyDescent="0.25">
      <c r="A655" s="87" t="s">
        <v>1064</v>
      </c>
      <c r="B655" s="87" t="s">
        <v>1065</v>
      </c>
      <c r="C655" s="196" t="s">
        <v>1066</v>
      </c>
      <c r="D655" s="196" t="s">
        <v>1067</v>
      </c>
      <c r="E655" s="162"/>
      <c r="F655" s="162">
        <v>36866.25</v>
      </c>
      <c r="G655" s="198">
        <f t="shared" si="18"/>
        <v>40447573.098750241</v>
      </c>
    </row>
    <row r="656" spans="1:7" s="75" customFormat="1" ht="16.5" hidden="1" customHeight="1" x14ac:dyDescent="0.25">
      <c r="A656" s="87" t="s">
        <v>1064</v>
      </c>
      <c r="B656" s="87" t="s">
        <v>1072</v>
      </c>
      <c r="C656" s="76" t="s">
        <v>1073</v>
      </c>
      <c r="D656" s="85" t="s">
        <v>1074</v>
      </c>
      <c r="E656" s="81"/>
      <c r="F656" s="81">
        <v>1024535.54</v>
      </c>
      <c r="G656" s="198">
        <f t="shared" si="18"/>
        <v>39423037.558750242</v>
      </c>
    </row>
    <row r="657" spans="1:7" s="75" customFormat="1" ht="15.75" hidden="1" x14ac:dyDescent="0.25">
      <c r="A657" s="87" t="s">
        <v>1064</v>
      </c>
      <c r="B657" s="87"/>
      <c r="C657" s="85" t="s">
        <v>22</v>
      </c>
      <c r="D657" s="85" t="s">
        <v>22</v>
      </c>
      <c r="E657" s="81">
        <v>33620</v>
      </c>
      <c r="F657" s="81"/>
      <c r="G657" s="198">
        <f t="shared" si="18"/>
        <v>39456657.558750242</v>
      </c>
    </row>
    <row r="658" spans="1:7" s="75" customFormat="1" ht="35.25" hidden="1" customHeight="1" x14ac:dyDescent="0.25">
      <c r="A658" s="87" t="s">
        <v>1064</v>
      </c>
      <c r="B658" s="87"/>
      <c r="C658" s="85" t="s">
        <v>13</v>
      </c>
      <c r="D658" s="85" t="s">
        <v>48</v>
      </c>
      <c r="E658" s="81">
        <v>800</v>
      </c>
      <c r="F658" s="81">
        <f>E658*0.025</f>
        <v>20</v>
      </c>
      <c r="G658" s="198">
        <f t="shared" si="18"/>
        <v>39457437.558750242</v>
      </c>
    </row>
    <row r="659" spans="1:7" s="75" customFormat="1" ht="18" hidden="1" customHeight="1" x14ac:dyDescent="0.25">
      <c r="A659" s="87" t="s">
        <v>1064</v>
      </c>
      <c r="B659" s="87"/>
      <c r="C659" s="85" t="s">
        <v>13</v>
      </c>
      <c r="D659" s="85" t="s">
        <v>48</v>
      </c>
      <c r="E659" s="81">
        <v>222.2</v>
      </c>
      <c r="F659" s="81">
        <f>E659*0.025</f>
        <v>5.5549999999999997</v>
      </c>
      <c r="G659" s="198">
        <f t="shared" si="18"/>
        <v>39457654.203750245</v>
      </c>
    </row>
    <row r="660" spans="1:7" s="75" customFormat="1" ht="15.75" hidden="1" x14ac:dyDescent="0.25">
      <c r="A660" s="87" t="s">
        <v>1064</v>
      </c>
      <c r="B660" s="87"/>
      <c r="C660" s="85" t="s">
        <v>13</v>
      </c>
      <c r="D660" s="85" t="s">
        <v>48</v>
      </c>
      <c r="E660" s="81">
        <v>100</v>
      </c>
      <c r="F660" s="81">
        <f>E660*0.025</f>
        <v>2.5</v>
      </c>
      <c r="G660" s="199">
        <f t="shared" si="18"/>
        <v>39457751.703750245</v>
      </c>
    </row>
    <row r="661" spans="1:7" s="75" customFormat="1" ht="31.5" hidden="1" x14ac:dyDescent="0.25">
      <c r="A661" s="87" t="s">
        <v>1115</v>
      </c>
      <c r="B661" s="87" t="s">
        <v>1075</v>
      </c>
      <c r="C661" s="76" t="s">
        <v>1076</v>
      </c>
      <c r="D661" s="129" t="s">
        <v>1077</v>
      </c>
      <c r="E661" s="76"/>
      <c r="F661" s="81">
        <v>11836</v>
      </c>
      <c r="G661" s="198">
        <f t="shared" si="18"/>
        <v>39445915.703750245</v>
      </c>
    </row>
    <row r="662" spans="1:7" s="75" customFormat="1" ht="34.5" hidden="1" customHeight="1" x14ac:dyDescent="0.25">
      <c r="A662" s="87" t="s">
        <v>1115</v>
      </c>
      <c r="B662" s="87" t="s">
        <v>1078</v>
      </c>
      <c r="C662" s="76" t="s">
        <v>1079</v>
      </c>
      <c r="D662" s="129" t="s">
        <v>1080</v>
      </c>
      <c r="E662" s="81"/>
      <c r="F662" s="81">
        <v>253120</v>
      </c>
      <c r="G662" s="198">
        <f t="shared" si="18"/>
        <v>39192795.703750245</v>
      </c>
    </row>
    <row r="663" spans="1:7" s="75" customFormat="1" ht="33.75" hidden="1" customHeight="1" x14ac:dyDescent="0.25">
      <c r="A663" s="87" t="s">
        <v>1115</v>
      </c>
      <c r="B663" s="87" t="s">
        <v>1081</v>
      </c>
      <c r="C663" s="76" t="s">
        <v>1082</v>
      </c>
      <c r="D663" s="129" t="s">
        <v>1083</v>
      </c>
      <c r="E663" s="81"/>
      <c r="F663" s="81">
        <v>434534.21</v>
      </c>
      <c r="G663" s="198">
        <f t="shared" si="18"/>
        <v>38758261.493750244</v>
      </c>
    </row>
    <row r="664" spans="1:7" s="75" customFormat="1" ht="14.25" hidden="1" customHeight="1" x14ac:dyDescent="0.25">
      <c r="A664" s="87" t="s">
        <v>1115</v>
      </c>
      <c r="B664" s="87" t="s">
        <v>1084</v>
      </c>
      <c r="C664" s="76" t="s">
        <v>991</v>
      </c>
      <c r="D664" s="129" t="s">
        <v>1085</v>
      </c>
      <c r="E664" s="81"/>
      <c r="F664" s="81">
        <v>939550</v>
      </c>
      <c r="G664" s="198">
        <f t="shared" si="18"/>
        <v>37818711.493750244</v>
      </c>
    </row>
    <row r="665" spans="1:7" s="75" customFormat="1" ht="16.5" hidden="1" customHeight="1" x14ac:dyDescent="0.25">
      <c r="A665" s="87" t="s">
        <v>1115</v>
      </c>
      <c r="B665" s="87" t="s">
        <v>1086</v>
      </c>
      <c r="C665" s="76" t="s">
        <v>1087</v>
      </c>
      <c r="D665" s="129" t="s">
        <v>1088</v>
      </c>
      <c r="E665" s="81"/>
      <c r="F665" s="81">
        <v>39947.5</v>
      </c>
      <c r="G665" s="198">
        <f t="shared" si="18"/>
        <v>37778763.993750244</v>
      </c>
    </row>
    <row r="666" spans="1:7" s="75" customFormat="1" ht="16.5" hidden="1" customHeight="1" x14ac:dyDescent="0.25">
      <c r="A666" s="87" t="s">
        <v>1115</v>
      </c>
      <c r="B666" s="87" t="s">
        <v>1089</v>
      </c>
      <c r="C666" s="76" t="s">
        <v>1090</v>
      </c>
      <c r="D666" s="189" t="s">
        <v>1091</v>
      </c>
      <c r="E666" s="81"/>
      <c r="F666" s="81">
        <v>44635</v>
      </c>
      <c r="G666" s="198">
        <f t="shared" si="18"/>
        <v>37734128.993750244</v>
      </c>
    </row>
    <row r="667" spans="1:7" s="75" customFormat="1" ht="16.5" hidden="1" customHeight="1" x14ac:dyDescent="0.25">
      <c r="A667" s="87" t="s">
        <v>1115</v>
      </c>
      <c r="B667" s="87" t="s">
        <v>1092</v>
      </c>
      <c r="C667" s="76" t="s">
        <v>1093</v>
      </c>
      <c r="D667" s="129" t="s">
        <v>1094</v>
      </c>
      <c r="E667" s="81"/>
      <c r="F667" s="81">
        <v>53194.26</v>
      </c>
      <c r="G667" s="198">
        <f t="shared" si="18"/>
        <v>37680934.733750246</v>
      </c>
    </row>
    <row r="668" spans="1:7" s="75" customFormat="1" ht="16.5" hidden="1" customHeight="1" x14ac:dyDescent="0.25">
      <c r="A668" s="87" t="s">
        <v>1115</v>
      </c>
      <c r="B668" s="87" t="s">
        <v>1095</v>
      </c>
      <c r="C668" s="76" t="s">
        <v>1096</v>
      </c>
      <c r="D668" s="129" t="s">
        <v>1097</v>
      </c>
      <c r="E668" s="81"/>
      <c r="F668" s="81">
        <v>1021487.5</v>
      </c>
      <c r="G668" s="198">
        <f t="shared" si="18"/>
        <v>36659447.233750246</v>
      </c>
    </row>
    <row r="669" spans="1:7" s="75" customFormat="1" ht="16.5" hidden="1" customHeight="1" x14ac:dyDescent="0.25">
      <c r="A669" s="87" t="s">
        <v>1115</v>
      </c>
      <c r="B669" s="87" t="s">
        <v>1098</v>
      </c>
      <c r="C669" s="76" t="s">
        <v>1099</v>
      </c>
      <c r="D669" s="129" t="s">
        <v>1100</v>
      </c>
      <c r="E669" s="81"/>
      <c r="F669" s="81">
        <v>1029990</v>
      </c>
      <c r="G669" s="198">
        <f t="shared" si="18"/>
        <v>35629457.233750246</v>
      </c>
    </row>
    <row r="670" spans="1:7" s="75" customFormat="1" ht="16.5" hidden="1" customHeight="1" x14ac:dyDescent="0.25">
      <c r="A670" s="87" t="s">
        <v>1115</v>
      </c>
      <c r="B670" s="87" t="s">
        <v>1101</v>
      </c>
      <c r="C670" s="76" t="s">
        <v>996</v>
      </c>
      <c r="D670" s="129" t="s">
        <v>1102</v>
      </c>
      <c r="E670" s="81"/>
      <c r="F670" s="81">
        <v>947340</v>
      </c>
      <c r="G670" s="198">
        <f t="shared" si="18"/>
        <v>34682117.233750246</v>
      </c>
    </row>
    <row r="671" spans="1:7" s="75" customFormat="1" ht="16.5" hidden="1" customHeight="1" x14ac:dyDescent="0.25">
      <c r="A671" s="87" t="s">
        <v>1115</v>
      </c>
      <c r="B671" s="87"/>
      <c r="C671" s="85" t="s">
        <v>22</v>
      </c>
      <c r="D671" s="85" t="s">
        <v>22</v>
      </c>
      <c r="E671" s="81">
        <v>29296</v>
      </c>
      <c r="F671" s="81"/>
      <c r="G671" s="198">
        <f t="shared" si="18"/>
        <v>34711413.233750246</v>
      </c>
    </row>
    <row r="672" spans="1:7" s="75" customFormat="1" ht="16.5" hidden="1" customHeight="1" x14ac:dyDescent="0.25">
      <c r="A672" s="87" t="s">
        <v>1115</v>
      </c>
      <c r="B672" s="87"/>
      <c r="C672" s="85" t="s">
        <v>13</v>
      </c>
      <c r="D672" s="85" t="s">
        <v>48</v>
      </c>
      <c r="E672" s="81">
        <v>90.4</v>
      </c>
      <c r="F672" s="81">
        <f t="shared" ref="F672:F682" si="19">E672*0.025</f>
        <v>2.2600000000000002</v>
      </c>
      <c r="G672" s="198">
        <f t="shared" si="18"/>
        <v>34711501.373750247</v>
      </c>
    </row>
    <row r="673" spans="1:7" s="75" customFormat="1" ht="16.5" hidden="1" customHeight="1" x14ac:dyDescent="0.25">
      <c r="A673" s="87" t="s">
        <v>1115</v>
      </c>
      <c r="B673" s="87"/>
      <c r="C673" s="85" t="s">
        <v>13</v>
      </c>
      <c r="D673" s="85" t="s">
        <v>48</v>
      </c>
      <c r="E673" s="81">
        <v>2566.38</v>
      </c>
      <c r="F673" s="81">
        <f t="shared" si="19"/>
        <v>64.159500000000008</v>
      </c>
      <c r="G673" s="198">
        <f t="shared" si="18"/>
        <v>34714003.594250247</v>
      </c>
    </row>
    <row r="674" spans="1:7" s="75" customFormat="1" ht="16.5" hidden="1" customHeight="1" x14ac:dyDescent="0.25">
      <c r="A674" s="87" t="s">
        <v>1115</v>
      </c>
      <c r="B674" s="87"/>
      <c r="C674" s="85" t="s">
        <v>13</v>
      </c>
      <c r="D674" s="85" t="s">
        <v>48</v>
      </c>
      <c r="E674" s="81">
        <v>216</v>
      </c>
      <c r="F674" s="81">
        <f t="shared" si="19"/>
        <v>5.4</v>
      </c>
      <c r="G674" s="198">
        <f t="shared" si="18"/>
        <v>34714214.194250248</v>
      </c>
    </row>
    <row r="675" spans="1:7" s="75" customFormat="1" ht="16.5" hidden="1" customHeight="1" x14ac:dyDescent="0.25">
      <c r="A675" s="87" t="s">
        <v>1115</v>
      </c>
      <c r="B675" s="87"/>
      <c r="C675" s="85" t="s">
        <v>13</v>
      </c>
      <c r="D675" s="85" t="s">
        <v>48</v>
      </c>
      <c r="E675" s="81">
        <v>690.4</v>
      </c>
      <c r="F675" s="81">
        <f t="shared" si="19"/>
        <v>17.260000000000002</v>
      </c>
      <c r="G675" s="198">
        <f t="shared" si="18"/>
        <v>34714887.334250249</v>
      </c>
    </row>
    <row r="676" spans="1:7" s="75" customFormat="1" ht="16.5" hidden="1" customHeight="1" x14ac:dyDescent="0.25">
      <c r="A676" s="87" t="s">
        <v>1115</v>
      </c>
      <c r="B676" s="87"/>
      <c r="C676" s="85" t="s">
        <v>13</v>
      </c>
      <c r="D676" s="85" t="s">
        <v>48</v>
      </c>
      <c r="E676" s="81">
        <v>1007</v>
      </c>
      <c r="F676" s="81">
        <f t="shared" si="19"/>
        <v>25.175000000000001</v>
      </c>
      <c r="G676" s="198">
        <f t="shared" si="18"/>
        <v>34715869.159250252</v>
      </c>
    </row>
    <row r="677" spans="1:7" s="75" customFormat="1" ht="16.5" hidden="1" customHeight="1" x14ac:dyDescent="0.25">
      <c r="A677" s="87" t="s">
        <v>1115</v>
      </c>
      <c r="B677" s="87"/>
      <c r="C677" s="85" t="s">
        <v>13</v>
      </c>
      <c r="D677" s="85" t="s">
        <v>48</v>
      </c>
      <c r="E677" s="81">
        <v>125</v>
      </c>
      <c r="F677" s="81">
        <f t="shared" si="19"/>
        <v>3.125</v>
      </c>
      <c r="G677" s="198">
        <f t="shared" si="18"/>
        <v>34715991.034250252</v>
      </c>
    </row>
    <row r="678" spans="1:7" s="75" customFormat="1" ht="16.5" hidden="1" customHeight="1" x14ac:dyDescent="0.25">
      <c r="A678" s="87" t="s">
        <v>1115</v>
      </c>
      <c r="B678" s="87"/>
      <c r="C678" s="85" t="s">
        <v>13</v>
      </c>
      <c r="D678" s="85" t="s">
        <v>48</v>
      </c>
      <c r="E678" s="81">
        <v>14181.46</v>
      </c>
      <c r="F678" s="81">
        <f t="shared" si="19"/>
        <v>354.53649999999999</v>
      </c>
      <c r="G678" s="198">
        <f t="shared" si="18"/>
        <v>34729817.957750253</v>
      </c>
    </row>
    <row r="679" spans="1:7" s="75" customFormat="1" ht="16.5" hidden="1" customHeight="1" x14ac:dyDescent="0.25">
      <c r="A679" s="87" t="s">
        <v>1115</v>
      </c>
      <c r="B679" s="87"/>
      <c r="C679" s="85" t="s">
        <v>13</v>
      </c>
      <c r="D679" s="85" t="s">
        <v>48</v>
      </c>
      <c r="E679" s="81">
        <v>11536.2</v>
      </c>
      <c r="F679" s="81">
        <f t="shared" si="19"/>
        <v>288.40500000000003</v>
      </c>
      <c r="G679" s="198">
        <f t="shared" si="18"/>
        <v>34741065.752750255</v>
      </c>
    </row>
    <row r="680" spans="1:7" s="75" customFormat="1" ht="16.5" hidden="1" customHeight="1" x14ac:dyDescent="0.25">
      <c r="A680" s="87" t="s">
        <v>1115</v>
      </c>
      <c r="B680" s="87"/>
      <c r="C680" s="85" t="s">
        <v>13</v>
      </c>
      <c r="D680" s="85" t="s">
        <v>48</v>
      </c>
      <c r="E680" s="81">
        <v>184</v>
      </c>
      <c r="F680" s="81">
        <f t="shared" si="19"/>
        <v>4.6000000000000005</v>
      </c>
      <c r="G680" s="198">
        <f t="shared" si="18"/>
        <v>34741245.152750254</v>
      </c>
    </row>
    <row r="681" spans="1:7" s="75" customFormat="1" ht="16.5" hidden="1" customHeight="1" x14ac:dyDescent="0.25">
      <c r="A681" s="87" t="s">
        <v>1115</v>
      </c>
      <c r="B681" s="87"/>
      <c r="C681" s="85" t="s">
        <v>13</v>
      </c>
      <c r="D681" s="85" t="s">
        <v>48</v>
      </c>
      <c r="E681" s="81">
        <v>100</v>
      </c>
      <c r="F681" s="81">
        <f t="shared" si="19"/>
        <v>2.5</v>
      </c>
      <c r="G681" s="198">
        <f t="shared" si="18"/>
        <v>34741342.652750254</v>
      </c>
    </row>
    <row r="682" spans="1:7" s="75" customFormat="1" ht="16.5" hidden="1" customHeight="1" x14ac:dyDescent="0.25">
      <c r="A682" s="87" t="s">
        <v>1115</v>
      </c>
      <c r="B682" s="87"/>
      <c r="C682" s="85" t="s">
        <v>13</v>
      </c>
      <c r="D682" s="85" t="s">
        <v>48</v>
      </c>
      <c r="E682" s="81">
        <v>100</v>
      </c>
      <c r="F682" s="81">
        <f t="shared" si="19"/>
        <v>2.5</v>
      </c>
      <c r="G682" s="199">
        <f t="shared" si="18"/>
        <v>34741440.152750254</v>
      </c>
    </row>
    <row r="683" spans="1:7" s="75" customFormat="1" ht="31.5" hidden="1" x14ac:dyDescent="0.25">
      <c r="A683" s="87" t="s">
        <v>1116</v>
      </c>
      <c r="B683" s="87" t="s">
        <v>1103</v>
      </c>
      <c r="C683" s="76" t="s">
        <v>518</v>
      </c>
      <c r="D683" s="129" t="s">
        <v>1104</v>
      </c>
      <c r="E683" s="81"/>
      <c r="F683" s="81">
        <v>493235.25</v>
      </c>
      <c r="G683" s="198">
        <f t="shared" si="18"/>
        <v>34248204.902750254</v>
      </c>
    </row>
    <row r="684" spans="1:7" s="75" customFormat="1" ht="15.75" hidden="1" x14ac:dyDescent="0.25">
      <c r="A684" s="87" t="s">
        <v>1116</v>
      </c>
      <c r="B684" s="87" t="s">
        <v>1105</v>
      </c>
      <c r="C684" s="76" t="s">
        <v>1106</v>
      </c>
      <c r="D684" s="129" t="s">
        <v>1138</v>
      </c>
      <c r="E684" s="81"/>
      <c r="F684" s="81">
        <v>645456</v>
      </c>
      <c r="G684" s="198">
        <f t="shared" si="18"/>
        <v>33602748.902750254</v>
      </c>
    </row>
    <row r="685" spans="1:7" s="75" customFormat="1" ht="30" hidden="1" customHeight="1" x14ac:dyDescent="0.25">
      <c r="A685" s="87" t="s">
        <v>1116</v>
      </c>
      <c r="B685" s="87" t="s">
        <v>1107</v>
      </c>
      <c r="C685" s="76" t="s">
        <v>1108</v>
      </c>
      <c r="D685" s="129" t="s">
        <v>1137</v>
      </c>
      <c r="E685" s="81"/>
      <c r="F685" s="81">
        <v>420787.5</v>
      </c>
      <c r="G685" s="198">
        <f t="shared" si="18"/>
        <v>33181961.402750254</v>
      </c>
    </row>
    <row r="686" spans="1:7" s="75" customFormat="1" ht="31.5" hidden="1" x14ac:dyDescent="0.25">
      <c r="A686" s="87" t="s">
        <v>1116</v>
      </c>
      <c r="B686" s="203"/>
      <c r="C686" s="76" t="s">
        <v>1109</v>
      </c>
      <c r="D686" s="129" t="s">
        <v>1139</v>
      </c>
      <c r="E686" s="81"/>
      <c r="F686" s="81">
        <v>132422.39999999999</v>
      </c>
      <c r="G686" s="198">
        <f t="shared" si="18"/>
        <v>33049539.002750255</v>
      </c>
    </row>
    <row r="687" spans="1:7" s="75" customFormat="1" ht="16.5" hidden="1" customHeight="1" x14ac:dyDescent="0.25">
      <c r="A687" s="87" t="s">
        <v>1116</v>
      </c>
      <c r="B687" s="87"/>
      <c r="C687" s="85" t="s">
        <v>22</v>
      </c>
      <c r="D687" s="85" t="s">
        <v>22</v>
      </c>
      <c r="E687" s="81">
        <v>33745</v>
      </c>
      <c r="F687" s="81"/>
      <c r="G687" s="198">
        <f t="shared" si="18"/>
        <v>33083284.002750255</v>
      </c>
    </row>
    <row r="688" spans="1:7" s="75" customFormat="1" ht="16.5" hidden="1" customHeight="1" x14ac:dyDescent="0.25">
      <c r="A688" s="87" t="s">
        <v>1116</v>
      </c>
      <c r="B688" s="87"/>
      <c r="C688" s="85" t="s">
        <v>13</v>
      </c>
      <c r="D688" s="85" t="s">
        <v>48</v>
      </c>
      <c r="E688" s="81">
        <v>300</v>
      </c>
      <c r="F688" s="81">
        <f>E688*0.025</f>
        <v>7.5</v>
      </c>
      <c r="G688" s="198">
        <f t="shared" si="18"/>
        <v>33083576.502750255</v>
      </c>
    </row>
    <row r="689" spans="1:7" s="75" customFormat="1" ht="16.5" hidden="1" customHeight="1" x14ac:dyDescent="0.25">
      <c r="A689" s="87" t="s">
        <v>1116</v>
      </c>
      <c r="B689" s="87"/>
      <c r="C689" s="85" t="s">
        <v>13</v>
      </c>
      <c r="D689" s="85" t="s">
        <v>48</v>
      </c>
      <c r="E689" s="81">
        <v>2475</v>
      </c>
      <c r="F689" s="81">
        <f>E689*0.025</f>
        <v>61.875</v>
      </c>
      <c r="G689" s="199">
        <f t="shared" ref="G689:G742" si="20">G688+E689-F689</f>
        <v>33085989.627750255</v>
      </c>
    </row>
    <row r="690" spans="1:7" s="75" customFormat="1" ht="16.5" hidden="1" customHeight="1" x14ac:dyDescent="0.25">
      <c r="A690" s="87" t="s">
        <v>1117</v>
      </c>
      <c r="B690" s="87"/>
      <c r="C690" s="85" t="s">
        <v>22</v>
      </c>
      <c r="D690" s="85" t="s">
        <v>22</v>
      </c>
      <c r="E690" s="81">
        <v>25361</v>
      </c>
      <c r="F690" s="81">
        <v>0</v>
      </c>
      <c r="G690" s="198">
        <f t="shared" si="20"/>
        <v>33111350.627750255</v>
      </c>
    </row>
    <row r="691" spans="1:7" s="75" customFormat="1" ht="16.5" hidden="1" customHeight="1" x14ac:dyDescent="0.25">
      <c r="A691" s="87" t="s">
        <v>1117</v>
      </c>
      <c r="B691" s="87"/>
      <c r="C691" s="85" t="s">
        <v>13</v>
      </c>
      <c r="D691" s="85" t="s">
        <v>48</v>
      </c>
      <c r="E691" s="81">
        <v>200</v>
      </c>
      <c r="F691" s="81">
        <f>E691*0.025</f>
        <v>5</v>
      </c>
      <c r="G691" s="198">
        <f t="shared" si="20"/>
        <v>33111545.627750255</v>
      </c>
    </row>
    <row r="692" spans="1:7" s="75" customFormat="1" ht="16.5" hidden="1" customHeight="1" x14ac:dyDescent="0.25">
      <c r="A692" s="87" t="s">
        <v>1117</v>
      </c>
      <c r="B692" s="87"/>
      <c r="C692" s="85" t="s">
        <v>13</v>
      </c>
      <c r="D692" s="85" t="s">
        <v>48</v>
      </c>
      <c r="E692" s="81">
        <v>100</v>
      </c>
      <c r="F692" s="81">
        <f>E692*0.025</f>
        <v>2.5</v>
      </c>
      <c r="G692" s="198">
        <f t="shared" si="20"/>
        <v>33111643.127750255</v>
      </c>
    </row>
    <row r="693" spans="1:7" s="75" customFormat="1" ht="16.5" hidden="1" customHeight="1" x14ac:dyDescent="0.25">
      <c r="A693" s="87" t="s">
        <v>1117</v>
      </c>
      <c r="B693" s="87"/>
      <c r="C693" s="85" t="s">
        <v>13</v>
      </c>
      <c r="D693" s="85" t="s">
        <v>48</v>
      </c>
      <c r="E693" s="81">
        <v>3318.6</v>
      </c>
      <c r="F693" s="81">
        <f>E693*0.025</f>
        <v>82.965000000000003</v>
      </c>
      <c r="G693" s="199">
        <f t="shared" si="20"/>
        <v>33114878.762750257</v>
      </c>
    </row>
    <row r="694" spans="1:7" s="75" customFormat="1" ht="52.5" hidden="1" customHeight="1" x14ac:dyDescent="0.25">
      <c r="A694" s="87" t="s">
        <v>1141</v>
      </c>
      <c r="B694" s="87" t="s">
        <v>1182</v>
      </c>
      <c r="C694" s="85" t="s">
        <v>1142</v>
      </c>
      <c r="D694" s="85" t="s">
        <v>1143</v>
      </c>
      <c r="E694" s="81">
        <v>0</v>
      </c>
      <c r="F694" s="81">
        <v>1502314.58</v>
      </c>
      <c r="G694" s="198">
        <f t="shared" si="20"/>
        <v>31612564.182750255</v>
      </c>
    </row>
    <row r="695" spans="1:7" s="75" customFormat="1" ht="47.25" hidden="1" customHeight="1" x14ac:dyDescent="0.25">
      <c r="A695" s="87" t="s">
        <v>1141</v>
      </c>
      <c r="B695" s="87" t="s">
        <v>1183</v>
      </c>
      <c r="C695" s="85" t="s">
        <v>1144</v>
      </c>
      <c r="D695" s="85" t="s">
        <v>1145</v>
      </c>
      <c r="E695" s="81"/>
      <c r="F695" s="81">
        <v>1755214.5</v>
      </c>
      <c r="G695" s="198">
        <f t="shared" si="20"/>
        <v>29857349.682750255</v>
      </c>
    </row>
    <row r="696" spans="1:7" s="75" customFormat="1" ht="37.5" hidden="1" customHeight="1" x14ac:dyDescent="0.25">
      <c r="A696" s="87" t="s">
        <v>1141</v>
      </c>
      <c r="B696" s="87" t="s">
        <v>1184</v>
      </c>
      <c r="C696" s="85" t="s">
        <v>1144</v>
      </c>
      <c r="D696" s="85" t="s">
        <v>1146</v>
      </c>
      <c r="E696" s="81"/>
      <c r="F696" s="81">
        <v>1456825.2</v>
      </c>
      <c r="G696" s="198">
        <f t="shared" si="20"/>
        <v>28400524.482750256</v>
      </c>
    </row>
    <row r="697" spans="1:7" s="75" customFormat="1" ht="57.75" hidden="1" customHeight="1" x14ac:dyDescent="0.25">
      <c r="A697" s="87" t="s">
        <v>1141</v>
      </c>
      <c r="B697" s="87" t="s">
        <v>1185</v>
      </c>
      <c r="C697" s="85" t="s">
        <v>1147</v>
      </c>
      <c r="D697" s="129" t="s">
        <v>1148</v>
      </c>
      <c r="E697" s="81"/>
      <c r="F697" s="81">
        <v>990579.25</v>
      </c>
      <c r="G697" s="198">
        <f t="shared" si="20"/>
        <v>27409945.232750256</v>
      </c>
    </row>
    <row r="698" spans="1:7" s="75" customFormat="1" ht="34.5" hidden="1" customHeight="1" x14ac:dyDescent="0.25">
      <c r="A698" s="87" t="s">
        <v>1141</v>
      </c>
      <c r="B698" s="87" t="s">
        <v>1186</v>
      </c>
      <c r="C698" s="85" t="s">
        <v>1149</v>
      </c>
      <c r="D698" s="85" t="s">
        <v>1150</v>
      </c>
      <c r="E698" s="81"/>
      <c r="F698" s="81">
        <v>181668.42</v>
      </c>
      <c r="G698" s="198">
        <f t="shared" si="20"/>
        <v>27228276.812750254</v>
      </c>
    </row>
    <row r="699" spans="1:7" s="75" customFormat="1" ht="46.5" hidden="1" customHeight="1" x14ac:dyDescent="0.25">
      <c r="A699" s="87" t="s">
        <v>1151</v>
      </c>
      <c r="B699" s="87" t="s">
        <v>1187</v>
      </c>
      <c r="C699" s="85" t="s">
        <v>1152</v>
      </c>
      <c r="D699" s="85" t="s">
        <v>1153</v>
      </c>
      <c r="E699" s="81"/>
      <c r="F699" s="81">
        <v>101465.53</v>
      </c>
      <c r="G699" s="198">
        <f t="shared" si="20"/>
        <v>27126811.282750253</v>
      </c>
    </row>
    <row r="700" spans="1:7" s="75" customFormat="1" ht="15.75" hidden="1" x14ac:dyDescent="0.25">
      <c r="A700" s="87" t="s">
        <v>1151</v>
      </c>
      <c r="B700" s="87" t="s">
        <v>1188</v>
      </c>
      <c r="C700" s="85" t="s">
        <v>991</v>
      </c>
      <c r="D700" s="85" t="s">
        <v>1154</v>
      </c>
      <c r="E700" s="81"/>
      <c r="F700" s="81">
        <v>1026000</v>
      </c>
      <c r="G700" s="198">
        <f t="shared" si="20"/>
        <v>26100811.282750253</v>
      </c>
    </row>
    <row r="701" spans="1:7" s="75" customFormat="1" ht="45" hidden="1" customHeight="1" x14ac:dyDescent="0.25">
      <c r="A701" s="87" t="s">
        <v>1141</v>
      </c>
      <c r="B701" s="87" t="s">
        <v>1189</v>
      </c>
      <c r="C701" s="85" t="s">
        <v>1155</v>
      </c>
      <c r="D701" s="85" t="s">
        <v>1156</v>
      </c>
      <c r="E701" s="81"/>
      <c r="F701" s="81">
        <v>1243596.08</v>
      </c>
      <c r="G701" s="198">
        <f t="shared" si="20"/>
        <v>24857215.202750251</v>
      </c>
    </row>
    <row r="702" spans="1:7" s="75" customFormat="1" ht="15.75" hidden="1" x14ac:dyDescent="0.25">
      <c r="A702" s="87" t="s">
        <v>1141</v>
      </c>
      <c r="B702" s="87"/>
      <c r="C702" s="85" t="s">
        <v>22</v>
      </c>
      <c r="D702" s="85" t="s">
        <v>22</v>
      </c>
      <c r="E702" s="81">
        <v>68401</v>
      </c>
      <c r="F702" s="81"/>
      <c r="G702" s="198">
        <f t="shared" si="20"/>
        <v>24925616.202750251</v>
      </c>
    </row>
    <row r="703" spans="1:7" s="75" customFormat="1" ht="15.75" hidden="1" x14ac:dyDescent="0.25">
      <c r="A703" s="87" t="s">
        <v>1141</v>
      </c>
      <c r="B703" s="188"/>
      <c r="C703" s="85" t="s">
        <v>13</v>
      </c>
      <c r="D703" s="85" t="s">
        <v>48</v>
      </c>
      <c r="E703" s="81">
        <v>5525</v>
      </c>
      <c r="F703" s="81">
        <f>E703*0.025</f>
        <v>138.125</v>
      </c>
      <c r="G703" s="198">
        <f t="shared" si="20"/>
        <v>24931003.077750251</v>
      </c>
    </row>
    <row r="704" spans="1:7" s="75" customFormat="1" ht="15.75" hidden="1" x14ac:dyDescent="0.25">
      <c r="A704" s="87" t="s">
        <v>1141</v>
      </c>
      <c r="B704" s="188"/>
      <c r="C704" s="85" t="s">
        <v>13</v>
      </c>
      <c r="D704" s="85" t="s">
        <v>48</v>
      </c>
      <c r="E704" s="81">
        <v>3000</v>
      </c>
      <c r="F704" s="81">
        <f t="shared" ref="F704:F710" si="21">E704*0.025</f>
        <v>75</v>
      </c>
      <c r="G704" s="198">
        <f t="shared" si="20"/>
        <v>24933928.077750251</v>
      </c>
    </row>
    <row r="705" spans="1:7" s="75" customFormat="1" ht="15.75" hidden="1" x14ac:dyDescent="0.25">
      <c r="A705" s="87" t="s">
        <v>1141</v>
      </c>
      <c r="B705" s="188"/>
      <c r="C705" s="85" t="s">
        <v>13</v>
      </c>
      <c r="D705" s="85" t="s">
        <v>48</v>
      </c>
      <c r="E705" s="81">
        <v>800</v>
      </c>
      <c r="F705" s="81">
        <f t="shared" si="21"/>
        <v>20</v>
      </c>
      <c r="G705" s="198">
        <f t="shared" si="20"/>
        <v>24934708.077750251</v>
      </c>
    </row>
    <row r="706" spans="1:7" s="75" customFormat="1" ht="15.75" hidden="1" x14ac:dyDescent="0.25">
      <c r="A706" s="87" t="s">
        <v>1141</v>
      </c>
      <c r="B706" s="188"/>
      <c r="C706" s="85" t="s">
        <v>13</v>
      </c>
      <c r="D706" s="85" t="s">
        <v>48</v>
      </c>
      <c r="E706" s="81">
        <v>172</v>
      </c>
      <c r="F706" s="81">
        <f t="shared" si="21"/>
        <v>4.3</v>
      </c>
      <c r="G706" s="198">
        <f t="shared" si="20"/>
        <v>24934875.77775025</v>
      </c>
    </row>
    <row r="707" spans="1:7" s="75" customFormat="1" ht="15.75" hidden="1" x14ac:dyDescent="0.25">
      <c r="A707" s="87" t="s">
        <v>1141</v>
      </c>
      <c r="B707" s="188"/>
      <c r="C707" s="85" t="s">
        <v>13</v>
      </c>
      <c r="D707" s="85" t="s">
        <v>48</v>
      </c>
      <c r="E707" s="81">
        <v>135.24</v>
      </c>
      <c r="F707" s="81">
        <f t="shared" si="21"/>
        <v>3.3810000000000002</v>
      </c>
      <c r="G707" s="198">
        <f t="shared" si="20"/>
        <v>24935007.636750247</v>
      </c>
    </row>
    <row r="708" spans="1:7" s="75" customFormat="1" ht="15.75" hidden="1" x14ac:dyDescent="0.25">
      <c r="A708" s="87" t="s">
        <v>1141</v>
      </c>
      <c r="B708" s="188"/>
      <c r="C708" s="85" t="s">
        <v>13</v>
      </c>
      <c r="D708" s="85" t="s">
        <v>48</v>
      </c>
      <c r="E708" s="81">
        <v>135.24</v>
      </c>
      <c r="F708" s="81">
        <f t="shared" si="21"/>
        <v>3.3810000000000002</v>
      </c>
      <c r="G708" s="198">
        <f t="shared" si="20"/>
        <v>24935139.495750245</v>
      </c>
    </row>
    <row r="709" spans="1:7" s="75" customFormat="1" ht="15.75" hidden="1" x14ac:dyDescent="0.25">
      <c r="A709" s="87" t="s">
        <v>1141</v>
      </c>
      <c r="B709" s="188"/>
      <c r="C709" s="85" t="s">
        <v>13</v>
      </c>
      <c r="D709" s="85" t="s">
        <v>48</v>
      </c>
      <c r="E709" s="81">
        <v>100</v>
      </c>
      <c r="F709" s="81">
        <f t="shared" si="21"/>
        <v>2.5</v>
      </c>
      <c r="G709" s="198">
        <f t="shared" si="20"/>
        <v>24935236.995750245</v>
      </c>
    </row>
    <row r="710" spans="1:7" s="75" customFormat="1" ht="15.75" hidden="1" x14ac:dyDescent="0.25">
      <c r="A710" s="87" t="s">
        <v>1141</v>
      </c>
      <c r="B710" s="188"/>
      <c r="C710" s="85" t="s">
        <v>13</v>
      </c>
      <c r="D710" s="85" t="s">
        <v>48</v>
      </c>
      <c r="E710" s="81">
        <v>100</v>
      </c>
      <c r="F710" s="81">
        <f t="shared" si="21"/>
        <v>2.5</v>
      </c>
      <c r="G710" s="198">
        <f t="shared" si="20"/>
        <v>24935334.495750245</v>
      </c>
    </row>
    <row r="711" spans="1:7" s="75" customFormat="1" ht="15.75" hidden="1" x14ac:dyDescent="0.25">
      <c r="A711" s="87" t="s">
        <v>1141</v>
      </c>
      <c r="B711" s="188"/>
      <c r="C711" s="85" t="s">
        <v>12</v>
      </c>
      <c r="D711" s="76" t="s">
        <v>1194</v>
      </c>
      <c r="E711" s="81">
        <v>31988981.25</v>
      </c>
      <c r="F711" s="81"/>
      <c r="G711" s="198">
        <f t="shared" si="20"/>
        <v>56924315.745750248</v>
      </c>
    </row>
    <row r="712" spans="1:7" s="75" customFormat="1" ht="15.75" hidden="1" x14ac:dyDescent="0.25">
      <c r="A712" s="87" t="s">
        <v>1141</v>
      </c>
      <c r="B712" s="188"/>
      <c r="C712" s="85" t="s">
        <v>12</v>
      </c>
      <c r="D712" s="85" t="s">
        <v>1195</v>
      </c>
      <c r="E712" s="81">
        <v>3235542.3</v>
      </c>
      <c r="F712" s="81"/>
      <c r="G712" s="198">
        <f t="shared" si="20"/>
        <v>60159858.045750245</v>
      </c>
    </row>
    <row r="713" spans="1:7" s="75" customFormat="1" ht="15.75" hidden="1" x14ac:dyDescent="0.25">
      <c r="A713" s="87" t="s">
        <v>1141</v>
      </c>
      <c r="B713" s="188"/>
      <c r="C713" s="85" t="s">
        <v>12</v>
      </c>
      <c r="D713" s="85" t="s">
        <v>1195</v>
      </c>
      <c r="E713" s="81">
        <v>3223940.15</v>
      </c>
      <c r="F713" s="81"/>
      <c r="G713" s="198">
        <f t="shared" si="20"/>
        <v>63383798.195750244</v>
      </c>
    </row>
    <row r="714" spans="1:7" s="75" customFormat="1" ht="15.75" hidden="1" x14ac:dyDescent="0.25">
      <c r="A714" s="87" t="s">
        <v>1141</v>
      </c>
      <c r="B714" s="188"/>
      <c r="C714" s="85" t="s">
        <v>12</v>
      </c>
      <c r="D714" s="85" t="s">
        <v>31</v>
      </c>
      <c r="E714" s="81">
        <v>1077686.24</v>
      </c>
      <c r="F714" s="81"/>
      <c r="G714" s="198">
        <f t="shared" si="20"/>
        <v>64461484.435750246</v>
      </c>
    </row>
    <row r="715" spans="1:7" s="75" customFormat="1" ht="15.75" hidden="1" x14ac:dyDescent="0.25">
      <c r="A715" s="87" t="s">
        <v>1141</v>
      </c>
      <c r="B715" s="188"/>
      <c r="C715" s="85" t="s">
        <v>12</v>
      </c>
      <c r="D715" s="85" t="s">
        <v>33</v>
      </c>
      <c r="E715" s="81">
        <v>525477.42000000004</v>
      </c>
      <c r="F715" s="81"/>
      <c r="G715" s="198">
        <f t="shared" si="20"/>
        <v>64986961.855750248</v>
      </c>
    </row>
    <row r="716" spans="1:7" s="75" customFormat="1" ht="15.75" hidden="1" x14ac:dyDescent="0.25">
      <c r="A716" s="87" t="s">
        <v>1141</v>
      </c>
      <c r="B716" s="188"/>
      <c r="C716" s="204" t="s">
        <v>12</v>
      </c>
      <c r="D716" s="85" t="s">
        <v>1195</v>
      </c>
      <c r="E716" s="81">
        <v>446338.9</v>
      </c>
      <c r="F716" s="81"/>
      <c r="G716" s="198">
        <f t="shared" si="20"/>
        <v>65433300.755750246</v>
      </c>
    </row>
    <row r="717" spans="1:7" s="75" customFormat="1" ht="15.75" hidden="1" x14ac:dyDescent="0.25">
      <c r="A717" s="87" t="s">
        <v>1141</v>
      </c>
      <c r="B717" s="188"/>
      <c r="C717" s="204" t="s">
        <v>12</v>
      </c>
      <c r="D717" s="85" t="s">
        <v>88</v>
      </c>
      <c r="E717" s="81">
        <v>344973.33</v>
      </c>
      <c r="F717" s="81"/>
      <c r="G717" s="198">
        <f t="shared" si="20"/>
        <v>65778274.085750245</v>
      </c>
    </row>
    <row r="718" spans="1:7" s="75" customFormat="1" ht="15.75" hidden="1" x14ac:dyDescent="0.25">
      <c r="A718" s="87" t="s">
        <v>1141</v>
      </c>
      <c r="B718" s="188"/>
      <c r="C718" s="204" t="s">
        <v>12</v>
      </c>
      <c r="D718" s="85" t="s">
        <v>23</v>
      </c>
      <c r="E718" s="81">
        <v>316210.8</v>
      </c>
      <c r="F718" s="81"/>
      <c r="G718" s="198">
        <f t="shared" si="20"/>
        <v>66094484.885750242</v>
      </c>
    </row>
    <row r="719" spans="1:7" s="75" customFormat="1" ht="15.75" hidden="1" x14ac:dyDescent="0.25">
      <c r="A719" s="187" t="s">
        <v>1141</v>
      </c>
      <c r="B719" s="188"/>
      <c r="C719" s="204" t="s">
        <v>12</v>
      </c>
      <c r="D719" s="85" t="s">
        <v>23</v>
      </c>
      <c r="E719" s="81">
        <v>293032.34999999998</v>
      </c>
      <c r="F719" s="81"/>
      <c r="G719" s="198">
        <f t="shared" si="20"/>
        <v>66387517.235750243</v>
      </c>
    </row>
    <row r="720" spans="1:7" s="75" customFormat="1" ht="15.75" hidden="1" x14ac:dyDescent="0.25">
      <c r="A720" s="187" t="s">
        <v>1141</v>
      </c>
      <c r="B720" s="188"/>
      <c r="C720" s="204" t="s">
        <v>12</v>
      </c>
      <c r="D720" s="202" t="s">
        <v>24</v>
      </c>
      <c r="E720" s="190">
        <v>171557.47</v>
      </c>
      <c r="F720" s="81"/>
      <c r="G720" s="198">
        <f t="shared" si="20"/>
        <v>66559074.705750242</v>
      </c>
    </row>
    <row r="721" spans="1:7" s="75" customFormat="1" ht="15.75" hidden="1" x14ac:dyDescent="0.25">
      <c r="A721" s="87" t="s">
        <v>1141</v>
      </c>
      <c r="B721" s="188"/>
      <c r="C721" s="204" t="s">
        <v>12</v>
      </c>
      <c r="D721" s="202" t="s">
        <v>28</v>
      </c>
      <c r="E721" s="190">
        <v>130100.63</v>
      </c>
      <c r="F721" s="81"/>
      <c r="G721" s="198">
        <f t="shared" si="20"/>
        <v>66689175.335750245</v>
      </c>
    </row>
    <row r="722" spans="1:7" s="75" customFormat="1" ht="15.75" hidden="1" x14ac:dyDescent="0.25">
      <c r="A722" s="87" t="s">
        <v>1141</v>
      </c>
      <c r="B722" s="188"/>
      <c r="C722" s="204" t="s">
        <v>12</v>
      </c>
      <c r="D722" s="202" t="s">
        <v>1194</v>
      </c>
      <c r="E722" s="190">
        <v>80000</v>
      </c>
      <c r="F722" s="81"/>
      <c r="G722" s="198">
        <f t="shared" si="20"/>
        <v>66769175.335750245</v>
      </c>
    </row>
    <row r="723" spans="1:7" s="75" customFormat="1" ht="15.75" hidden="1" x14ac:dyDescent="0.25">
      <c r="A723" s="87" t="s">
        <v>1141</v>
      </c>
      <c r="B723" s="188"/>
      <c r="C723" s="204" t="s">
        <v>12</v>
      </c>
      <c r="D723" s="202" t="s">
        <v>31</v>
      </c>
      <c r="E723" s="190">
        <v>64602.7</v>
      </c>
      <c r="F723" s="81"/>
      <c r="G723" s="198">
        <f t="shared" si="20"/>
        <v>66833778.035750248</v>
      </c>
    </row>
    <row r="724" spans="1:7" s="75" customFormat="1" ht="15.75" hidden="1" x14ac:dyDescent="0.25">
      <c r="A724" s="87" t="s">
        <v>1141</v>
      </c>
      <c r="B724" s="188"/>
      <c r="C724" s="204" t="s">
        <v>12</v>
      </c>
      <c r="D724" s="202" t="s">
        <v>31</v>
      </c>
      <c r="E724" s="190">
        <v>57099.11</v>
      </c>
      <c r="F724" s="81"/>
      <c r="G724" s="198">
        <f t="shared" si="20"/>
        <v>66890877.145750247</v>
      </c>
    </row>
    <row r="725" spans="1:7" s="75" customFormat="1" ht="15.75" hidden="1" x14ac:dyDescent="0.25">
      <c r="A725" s="87" t="s">
        <v>1141</v>
      </c>
      <c r="B725" s="188"/>
      <c r="C725" s="204" t="s">
        <v>12</v>
      </c>
      <c r="D725" s="202" t="s">
        <v>1196</v>
      </c>
      <c r="E725" s="190">
        <v>50000</v>
      </c>
      <c r="F725" s="81"/>
      <c r="G725" s="198">
        <f t="shared" si="20"/>
        <v>66940877.145750247</v>
      </c>
    </row>
    <row r="726" spans="1:7" s="75" customFormat="1" ht="15.75" hidden="1" x14ac:dyDescent="0.25">
      <c r="A726" s="87" t="s">
        <v>1141</v>
      </c>
      <c r="B726" s="188"/>
      <c r="C726" s="204" t="s">
        <v>12</v>
      </c>
      <c r="D726" s="202" t="s">
        <v>23</v>
      </c>
      <c r="E726" s="190">
        <v>42588</v>
      </c>
      <c r="F726" s="81"/>
      <c r="G726" s="198">
        <f t="shared" si="20"/>
        <v>66983465.145750247</v>
      </c>
    </row>
    <row r="727" spans="1:7" s="75" customFormat="1" ht="15.75" hidden="1" x14ac:dyDescent="0.25">
      <c r="A727" s="87" t="s">
        <v>1141</v>
      </c>
      <c r="B727" s="188"/>
      <c r="C727" s="204" t="s">
        <v>12</v>
      </c>
      <c r="D727" s="202" t="s">
        <v>1197</v>
      </c>
      <c r="E727" s="190">
        <v>36289.620000000003</v>
      </c>
      <c r="F727" s="81"/>
      <c r="G727" s="198">
        <f t="shared" si="20"/>
        <v>67019754.765750244</v>
      </c>
    </row>
    <row r="728" spans="1:7" s="75" customFormat="1" ht="15.75" hidden="1" x14ac:dyDescent="0.25">
      <c r="A728" s="87" t="s">
        <v>1141</v>
      </c>
      <c r="B728" s="188"/>
      <c r="C728" s="204" t="s">
        <v>12</v>
      </c>
      <c r="D728" s="202" t="s">
        <v>23</v>
      </c>
      <c r="E728" s="190">
        <v>7828.8</v>
      </c>
      <c r="F728" s="81"/>
      <c r="G728" s="198">
        <f t="shared" si="20"/>
        <v>67027583.565750241</v>
      </c>
    </row>
    <row r="729" spans="1:7" s="75" customFormat="1" ht="15.75" hidden="1" x14ac:dyDescent="0.25">
      <c r="A729" s="87" t="s">
        <v>1151</v>
      </c>
      <c r="B729" s="87" t="s">
        <v>1190</v>
      </c>
      <c r="C729" s="85" t="s">
        <v>1157</v>
      </c>
      <c r="D729" s="85" t="s">
        <v>1158</v>
      </c>
      <c r="E729" s="81"/>
      <c r="F729" s="81">
        <v>433200</v>
      </c>
      <c r="G729" s="198">
        <f t="shared" si="20"/>
        <v>66594383.565750241</v>
      </c>
    </row>
    <row r="730" spans="1:7" s="75" customFormat="1" ht="16.5" hidden="1" customHeight="1" x14ac:dyDescent="0.25">
      <c r="A730" s="87" t="s">
        <v>1151</v>
      </c>
      <c r="B730" s="87" t="s">
        <v>1191</v>
      </c>
      <c r="C730" s="85" t="s">
        <v>1159</v>
      </c>
      <c r="D730" s="85" t="s">
        <v>1160</v>
      </c>
      <c r="E730" s="81"/>
      <c r="F730" s="81">
        <v>91530</v>
      </c>
      <c r="G730" s="198">
        <f t="shared" si="20"/>
        <v>66502853.565750241</v>
      </c>
    </row>
    <row r="731" spans="1:7" s="75" customFormat="1" ht="16.5" hidden="1" customHeight="1" x14ac:dyDescent="0.25">
      <c r="A731" s="87" t="s">
        <v>1151</v>
      </c>
      <c r="B731" s="87" t="s">
        <v>1192</v>
      </c>
      <c r="C731" s="85" t="s">
        <v>1161</v>
      </c>
      <c r="D731" s="85" t="s">
        <v>1162</v>
      </c>
      <c r="E731" s="81"/>
      <c r="F731" s="81">
        <v>1140000</v>
      </c>
      <c r="G731" s="198">
        <f t="shared" si="20"/>
        <v>65362853.565750241</v>
      </c>
    </row>
    <row r="732" spans="1:7" s="75" customFormat="1" ht="16.5" hidden="1" customHeight="1" x14ac:dyDescent="0.25">
      <c r="A732" s="87" t="s">
        <v>1151</v>
      </c>
      <c r="B732" s="87" t="s">
        <v>1193</v>
      </c>
      <c r="C732" s="85" t="s">
        <v>1163</v>
      </c>
      <c r="D732" s="85" t="s">
        <v>1164</v>
      </c>
      <c r="E732" s="81"/>
      <c r="F732" s="81">
        <v>87688</v>
      </c>
      <c r="G732" s="198">
        <f t="shared" si="20"/>
        <v>65275165.565750241</v>
      </c>
    </row>
    <row r="733" spans="1:7" s="75" customFormat="1" ht="31.5" hidden="1" x14ac:dyDescent="0.25">
      <c r="A733" s="187" t="s">
        <v>1151</v>
      </c>
      <c r="B733" s="187" t="s">
        <v>1167</v>
      </c>
      <c r="C733" s="202" t="s">
        <v>1165</v>
      </c>
      <c r="D733" s="202" t="s">
        <v>1166</v>
      </c>
      <c r="E733" s="190"/>
      <c r="F733" s="190">
        <v>1086760</v>
      </c>
      <c r="G733" s="198">
        <f t="shared" si="20"/>
        <v>64188405.565750241</v>
      </c>
    </row>
    <row r="734" spans="1:7" s="75" customFormat="1" ht="15.75" hidden="1" x14ac:dyDescent="0.25">
      <c r="A734" s="187" t="s">
        <v>1151</v>
      </c>
      <c r="B734" s="187" t="s">
        <v>1168</v>
      </c>
      <c r="C734" s="204" t="s">
        <v>991</v>
      </c>
      <c r="D734" s="204" t="s">
        <v>1169</v>
      </c>
      <c r="E734" s="81"/>
      <c r="F734" s="191">
        <v>1254000</v>
      </c>
      <c r="G734" s="198">
        <f t="shared" si="20"/>
        <v>62934405.565750241</v>
      </c>
    </row>
    <row r="735" spans="1:7" s="75" customFormat="1" ht="31.5" hidden="1" x14ac:dyDescent="0.25">
      <c r="A735" s="187" t="s">
        <v>1151</v>
      </c>
      <c r="B735" s="187" t="s">
        <v>1170</v>
      </c>
      <c r="C735" s="204" t="s">
        <v>1171</v>
      </c>
      <c r="D735" s="204" t="s">
        <v>1172</v>
      </c>
      <c r="E735" s="81"/>
      <c r="F735" s="191">
        <v>106908.03</v>
      </c>
      <c r="G735" s="198">
        <f t="shared" si="20"/>
        <v>62827497.53575024</v>
      </c>
    </row>
    <row r="736" spans="1:7" s="75" customFormat="1" ht="15.75" hidden="1" x14ac:dyDescent="0.25">
      <c r="A736" s="187" t="s">
        <v>1151</v>
      </c>
      <c r="B736" s="187" t="s">
        <v>1173</v>
      </c>
      <c r="C736" s="204" t="s">
        <v>1174</v>
      </c>
      <c r="D736" s="204" t="s">
        <v>1175</v>
      </c>
      <c r="E736" s="81"/>
      <c r="F736" s="191">
        <v>232750</v>
      </c>
      <c r="G736" s="198">
        <f t="shared" si="20"/>
        <v>62594747.53575024</v>
      </c>
    </row>
    <row r="737" spans="1:8" s="75" customFormat="1" ht="31.5" hidden="1" x14ac:dyDescent="0.25">
      <c r="A737" s="87" t="s">
        <v>1151</v>
      </c>
      <c r="B737" s="87" t="s">
        <v>1176</v>
      </c>
      <c r="C737" s="85" t="s">
        <v>1177</v>
      </c>
      <c r="D737" s="85" t="s">
        <v>1178</v>
      </c>
      <c r="E737" s="81"/>
      <c r="F737" s="81">
        <v>412087.5</v>
      </c>
      <c r="G737" s="198">
        <f t="shared" si="20"/>
        <v>62182660.03575024</v>
      </c>
    </row>
    <row r="738" spans="1:8" s="75" customFormat="1" ht="31.5" hidden="1" x14ac:dyDescent="0.25">
      <c r="A738" s="87" t="s">
        <v>1151</v>
      </c>
      <c r="B738" s="87" t="s">
        <v>1179</v>
      </c>
      <c r="C738" s="85" t="s">
        <v>1180</v>
      </c>
      <c r="D738" s="85" t="s">
        <v>1181</v>
      </c>
      <c r="E738" s="81"/>
      <c r="F738" s="81">
        <v>342439.3</v>
      </c>
      <c r="G738" s="198">
        <f t="shared" si="20"/>
        <v>61840220.735750243</v>
      </c>
    </row>
    <row r="739" spans="1:8" s="75" customFormat="1" ht="15.75" hidden="1" x14ac:dyDescent="0.25">
      <c r="A739" s="87" t="s">
        <v>1151</v>
      </c>
      <c r="B739" s="188"/>
      <c r="C739" s="85" t="s">
        <v>12</v>
      </c>
      <c r="D739" s="85" t="s">
        <v>1253</v>
      </c>
      <c r="E739" s="81">
        <v>1117437.75</v>
      </c>
      <c r="F739" s="81"/>
      <c r="G739" s="198">
        <f t="shared" si="20"/>
        <v>62957658.485750243</v>
      </c>
    </row>
    <row r="740" spans="1:8" s="75" customFormat="1" ht="15.75" hidden="1" x14ac:dyDescent="0.25">
      <c r="A740" s="87" t="s">
        <v>1151</v>
      </c>
      <c r="B740" s="188"/>
      <c r="C740" s="85" t="s">
        <v>12</v>
      </c>
      <c r="D740" s="85" t="s">
        <v>1253</v>
      </c>
      <c r="E740" s="81">
        <v>235163.3</v>
      </c>
      <c r="F740" s="81"/>
      <c r="G740" s="198">
        <f t="shared" si="20"/>
        <v>63192821.78575024</v>
      </c>
    </row>
    <row r="741" spans="1:8" s="75" customFormat="1" ht="15.75" hidden="1" x14ac:dyDescent="0.25">
      <c r="A741" s="87" t="s">
        <v>1151</v>
      </c>
      <c r="B741" s="188"/>
      <c r="C741" s="85" t="s">
        <v>12</v>
      </c>
      <c r="D741" s="85" t="s">
        <v>1253</v>
      </c>
      <c r="E741" s="81">
        <v>15284.8</v>
      </c>
      <c r="F741" s="81"/>
      <c r="G741" s="198">
        <f t="shared" si="20"/>
        <v>63208106.585750237</v>
      </c>
    </row>
    <row r="742" spans="1:8" s="75" customFormat="1" ht="18.75" hidden="1" x14ac:dyDescent="0.3">
      <c r="A742" s="87" t="s">
        <v>1151</v>
      </c>
      <c r="B742" s="209"/>
      <c r="C742" s="85" t="s">
        <v>12</v>
      </c>
      <c r="D742" s="85" t="s">
        <v>1253</v>
      </c>
      <c r="E742" s="210">
        <v>1135624.43</v>
      </c>
      <c r="F742" s="81"/>
      <c r="G742" s="199">
        <f t="shared" si="20"/>
        <v>64343731.015750237</v>
      </c>
    </row>
    <row r="743" spans="1:8" s="232" customFormat="1" ht="70.5" hidden="1" customHeight="1" x14ac:dyDescent="0.3">
      <c r="A743" s="226"/>
      <c r="B743" s="227"/>
      <c r="C743" s="228"/>
      <c r="D743" s="228"/>
      <c r="E743" s="229"/>
      <c r="F743" s="230"/>
      <c r="G743" s="231"/>
    </row>
    <row r="744" spans="1:8" s="75" customFormat="1" ht="15.75" x14ac:dyDescent="0.25">
      <c r="A744" s="234">
        <v>44566</v>
      </c>
      <c r="B744" s="235"/>
      <c r="C744" s="236" t="s">
        <v>13</v>
      </c>
      <c r="D744" s="236" t="s">
        <v>22</v>
      </c>
      <c r="E744" s="198">
        <v>10475</v>
      </c>
      <c r="F744" s="198"/>
      <c r="G744" s="198">
        <f>G742+E744-F744</f>
        <v>64354206.015750237</v>
      </c>
    </row>
    <row r="745" spans="1:8" s="75" customFormat="1" ht="15.75" x14ac:dyDescent="0.25">
      <c r="A745" s="234">
        <v>44625</v>
      </c>
      <c r="B745" s="235"/>
      <c r="C745" s="236" t="s">
        <v>13</v>
      </c>
      <c r="D745" s="236" t="s">
        <v>22</v>
      </c>
      <c r="E745" s="198">
        <v>20467</v>
      </c>
      <c r="F745" s="198"/>
      <c r="G745" s="198">
        <f>G744+E745-F745</f>
        <v>64374673.015750237</v>
      </c>
    </row>
    <row r="746" spans="1:8" s="75" customFormat="1" ht="15.75" x14ac:dyDescent="0.25">
      <c r="A746" s="234">
        <v>44625</v>
      </c>
      <c r="B746" s="235"/>
      <c r="C746" s="236" t="s">
        <v>13</v>
      </c>
      <c r="D746" s="236" t="s">
        <v>48</v>
      </c>
      <c r="E746" s="198">
        <v>925.4</v>
      </c>
      <c r="F746" s="198">
        <f>E746*0.025</f>
        <v>23.135000000000002</v>
      </c>
      <c r="G746" s="198">
        <f>G745+E746-F746</f>
        <v>64375575.280750237</v>
      </c>
      <c r="H746" s="233"/>
    </row>
    <row r="747" spans="1:8" s="75" customFormat="1" ht="15.75" x14ac:dyDescent="0.25">
      <c r="A747" s="234">
        <v>44656</v>
      </c>
      <c r="B747" s="235"/>
      <c r="C747" s="236" t="s">
        <v>13</v>
      </c>
      <c r="D747" s="236" t="s">
        <v>22</v>
      </c>
      <c r="E747" s="198">
        <v>34733</v>
      </c>
      <c r="F747" s="198"/>
      <c r="G747" s="198">
        <f t="shared" ref="G747:G838" si="22">G746+E747-F747</f>
        <v>64410308.280750237</v>
      </c>
    </row>
    <row r="748" spans="1:8" s="75" customFormat="1" ht="15.75" x14ac:dyDescent="0.25">
      <c r="A748" s="234">
        <v>44656</v>
      </c>
      <c r="B748" s="235"/>
      <c r="C748" s="236" t="s">
        <v>13</v>
      </c>
      <c r="D748" s="236" t="s">
        <v>48</v>
      </c>
      <c r="E748" s="198">
        <v>1300</v>
      </c>
      <c r="F748" s="198">
        <f>E748*0.025</f>
        <v>32.5</v>
      </c>
      <c r="G748" s="198">
        <f t="shared" si="22"/>
        <v>64411575.780750237</v>
      </c>
      <c r="H748" s="233"/>
    </row>
    <row r="749" spans="1:8" s="75" customFormat="1" ht="15.75" x14ac:dyDescent="0.25">
      <c r="A749" s="234">
        <v>44656</v>
      </c>
      <c r="B749" s="235"/>
      <c r="C749" s="236" t="s">
        <v>13</v>
      </c>
      <c r="D749" s="236" t="s">
        <v>48</v>
      </c>
      <c r="E749" s="198">
        <v>525</v>
      </c>
      <c r="F749" s="198">
        <f t="shared" ref="F749:F755" si="23">E749*0.025</f>
        <v>13.125</v>
      </c>
      <c r="G749" s="198">
        <f t="shared" si="22"/>
        <v>64412087.655750237</v>
      </c>
      <c r="H749" s="233"/>
    </row>
    <row r="750" spans="1:8" s="75" customFormat="1" ht="15.75" x14ac:dyDescent="0.25">
      <c r="A750" s="234">
        <v>44656</v>
      </c>
      <c r="B750" s="235"/>
      <c r="C750" s="236" t="s">
        <v>13</v>
      </c>
      <c r="D750" s="236" t="s">
        <v>48</v>
      </c>
      <c r="E750" s="198">
        <v>1013</v>
      </c>
      <c r="F750" s="198">
        <f t="shared" si="23"/>
        <v>25.325000000000003</v>
      </c>
      <c r="G750" s="198">
        <f t="shared" si="22"/>
        <v>64413075.330750234</v>
      </c>
      <c r="H750" s="233"/>
    </row>
    <row r="751" spans="1:8" s="75" customFormat="1" ht="15.75" x14ac:dyDescent="0.25">
      <c r="A751" s="234">
        <v>44656</v>
      </c>
      <c r="B751" s="235"/>
      <c r="C751" s="236" t="s">
        <v>13</v>
      </c>
      <c r="D751" s="236" t="s">
        <v>48</v>
      </c>
      <c r="E751" s="198">
        <v>880.15</v>
      </c>
      <c r="F751" s="198">
        <f t="shared" si="23"/>
        <v>22.00375</v>
      </c>
      <c r="G751" s="198">
        <f t="shared" si="22"/>
        <v>64413933.477000237</v>
      </c>
      <c r="H751" s="233"/>
    </row>
    <row r="752" spans="1:8" s="75" customFormat="1" ht="15.75" x14ac:dyDescent="0.25">
      <c r="A752" s="234">
        <v>44686</v>
      </c>
      <c r="B752" s="235"/>
      <c r="C752" s="236" t="s">
        <v>13</v>
      </c>
      <c r="D752" s="236" t="s">
        <v>22</v>
      </c>
      <c r="E752" s="198">
        <v>25652</v>
      </c>
      <c r="F752" s="198"/>
      <c r="G752" s="198">
        <f t="shared" si="22"/>
        <v>64439585.477000237</v>
      </c>
    </row>
    <row r="753" spans="1:8" s="75" customFormat="1" ht="15.75" x14ac:dyDescent="0.25">
      <c r="A753" s="234">
        <v>44686</v>
      </c>
      <c r="B753" s="235"/>
      <c r="C753" s="236" t="s">
        <v>13</v>
      </c>
      <c r="D753" s="236" t="s">
        <v>48</v>
      </c>
      <c r="E753" s="198">
        <v>5000</v>
      </c>
      <c r="F753" s="198">
        <f t="shared" si="23"/>
        <v>125</v>
      </c>
      <c r="G753" s="198">
        <f t="shared" si="22"/>
        <v>64444460.477000237</v>
      </c>
      <c r="H753" s="233"/>
    </row>
    <row r="754" spans="1:8" s="75" customFormat="1" ht="15.75" x14ac:dyDescent="0.25">
      <c r="A754" s="234">
        <v>44686</v>
      </c>
      <c r="B754" s="235"/>
      <c r="C754" s="236" t="s">
        <v>13</v>
      </c>
      <c r="D754" s="236" t="s">
        <v>48</v>
      </c>
      <c r="E754" s="198">
        <v>3000</v>
      </c>
      <c r="F754" s="198">
        <f t="shared" si="23"/>
        <v>75</v>
      </c>
      <c r="G754" s="198">
        <f t="shared" si="22"/>
        <v>64447385.477000237</v>
      </c>
      <c r="H754" s="233"/>
    </row>
    <row r="755" spans="1:8" s="75" customFormat="1" ht="15.75" x14ac:dyDescent="0.25">
      <c r="A755" s="234">
        <v>44686</v>
      </c>
      <c r="B755" s="235"/>
      <c r="C755" s="236" t="s">
        <v>13</v>
      </c>
      <c r="D755" s="236" t="s">
        <v>48</v>
      </c>
      <c r="E755" s="198">
        <v>1040.4000000000001</v>
      </c>
      <c r="F755" s="198">
        <f t="shared" si="23"/>
        <v>26.010000000000005</v>
      </c>
      <c r="G755" s="198">
        <f t="shared" si="22"/>
        <v>64448399.867000237</v>
      </c>
      <c r="H755" s="233"/>
    </row>
    <row r="756" spans="1:8" s="75" customFormat="1" ht="47.25" x14ac:dyDescent="0.25">
      <c r="A756" s="234">
        <v>44686</v>
      </c>
      <c r="B756" s="237" t="s">
        <v>1258</v>
      </c>
      <c r="C756" s="236" t="s">
        <v>1259</v>
      </c>
      <c r="D756" s="236" t="s">
        <v>1260</v>
      </c>
      <c r="E756" s="198"/>
      <c r="F756" s="198">
        <v>38736</v>
      </c>
      <c r="G756" s="198">
        <f t="shared" si="22"/>
        <v>64409663.867000237</v>
      </c>
    </row>
    <row r="757" spans="1:8" s="75" customFormat="1" ht="31.5" x14ac:dyDescent="0.25">
      <c r="A757" s="234">
        <v>44686</v>
      </c>
      <c r="B757" s="237" t="s">
        <v>1261</v>
      </c>
      <c r="C757" s="236" t="s">
        <v>1262</v>
      </c>
      <c r="D757" s="236" t="s">
        <v>1263</v>
      </c>
      <c r="E757" s="198"/>
      <c r="F757" s="198">
        <v>450300</v>
      </c>
      <c r="G757" s="198">
        <f t="shared" si="22"/>
        <v>63959363.867000237</v>
      </c>
    </row>
    <row r="758" spans="1:8" s="75" customFormat="1" ht="47.25" x14ac:dyDescent="0.25">
      <c r="A758" s="234">
        <v>44686</v>
      </c>
      <c r="B758" s="237" t="s">
        <v>1264</v>
      </c>
      <c r="C758" s="236" t="s">
        <v>104</v>
      </c>
      <c r="D758" s="236" t="s">
        <v>1265</v>
      </c>
      <c r="E758" s="198"/>
      <c r="F758" s="198">
        <v>23000</v>
      </c>
      <c r="G758" s="198">
        <f t="shared" si="22"/>
        <v>63936363.867000237</v>
      </c>
    </row>
    <row r="759" spans="1:8" s="75" customFormat="1" ht="47.25" x14ac:dyDescent="0.25">
      <c r="A759" s="234">
        <v>44686</v>
      </c>
      <c r="B759" s="237" t="s">
        <v>1266</v>
      </c>
      <c r="C759" s="236" t="s">
        <v>1267</v>
      </c>
      <c r="D759" s="236" t="s">
        <v>1268</v>
      </c>
      <c r="E759" s="198"/>
      <c r="F759" s="198">
        <v>3755.59</v>
      </c>
      <c r="G759" s="198">
        <f t="shared" si="22"/>
        <v>63932608.277000234</v>
      </c>
    </row>
    <row r="760" spans="1:8" s="75" customFormat="1" ht="31.5" x14ac:dyDescent="0.25">
      <c r="A760" s="234">
        <v>44686</v>
      </c>
      <c r="B760" s="237" t="s">
        <v>1269</v>
      </c>
      <c r="C760" s="236" t="s">
        <v>1267</v>
      </c>
      <c r="D760" s="236" t="s">
        <v>1270</v>
      </c>
      <c r="E760" s="198"/>
      <c r="F760" s="198">
        <v>162.93</v>
      </c>
      <c r="G760" s="198">
        <f t="shared" si="22"/>
        <v>63932445.347000234</v>
      </c>
    </row>
    <row r="761" spans="1:8" s="75" customFormat="1" ht="31.5" x14ac:dyDescent="0.25">
      <c r="A761" s="234">
        <v>44686</v>
      </c>
      <c r="B761" s="237" t="s">
        <v>1271</v>
      </c>
      <c r="C761" s="236" t="s">
        <v>1216</v>
      </c>
      <c r="D761" s="236" t="s">
        <v>1272</v>
      </c>
      <c r="E761" s="198"/>
      <c r="F761" s="198">
        <v>478724.5</v>
      </c>
      <c r="G761" s="198">
        <f t="shared" si="22"/>
        <v>63453720.847000234</v>
      </c>
    </row>
    <row r="762" spans="1:8" s="75" customFormat="1" ht="31.5" x14ac:dyDescent="0.25">
      <c r="A762" s="234">
        <v>44686</v>
      </c>
      <c r="B762" s="237" t="s">
        <v>1273</v>
      </c>
      <c r="C762" s="236" t="s">
        <v>1274</v>
      </c>
      <c r="D762" s="236" t="s">
        <v>1275</v>
      </c>
      <c r="E762" s="198"/>
      <c r="F762" s="198">
        <v>4200</v>
      </c>
      <c r="G762" s="198">
        <f t="shared" si="22"/>
        <v>63449520.847000234</v>
      </c>
    </row>
    <row r="763" spans="1:8" s="75" customFormat="1" ht="63" x14ac:dyDescent="0.25">
      <c r="A763" s="234">
        <v>44686</v>
      </c>
      <c r="B763" s="237" t="s">
        <v>1276</v>
      </c>
      <c r="C763" s="236" t="s">
        <v>1222</v>
      </c>
      <c r="D763" s="236" t="s">
        <v>1277</v>
      </c>
      <c r="E763" s="198"/>
      <c r="F763" s="198">
        <v>36328.639999999999</v>
      </c>
      <c r="G763" s="198">
        <f t="shared" si="22"/>
        <v>63413192.207000233</v>
      </c>
    </row>
    <row r="764" spans="1:8" s="75" customFormat="1" ht="15.75" x14ac:dyDescent="0.25">
      <c r="A764" s="234">
        <v>44717</v>
      </c>
      <c r="B764" s="237"/>
      <c r="C764" s="236" t="s">
        <v>13</v>
      </c>
      <c r="D764" s="236" t="s">
        <v>22</v>
      </c>
      <c r="E764" s="198">
        <v>67299</v>
      </c>
      <c r="F764" s="198"/>
      <c r="G764" s="198">
        <f t="shared" si="22"/>
        <v>63480491.207000233</v>
      </c>
    </row>
    <row r="765" spans="1:8" s="75" customFormat="1" ht="15.75" x14ac:dyDescent="0.25">
      <c r="A765" s="234">
        <v>44717</v>
      </c>
      <c r="B765" s="237"/>
      <c r="C765" s="236" t="s">
        <v>13</v>
      </c>
      <c r="D765" s="236" t="s">
        <v>48</v>
      </c>
      <c r="E765" s="198">
        <v>13234.22</v>
      </c>
      <c r="F765" s="198">
        <f>E765*0.025</f>
        <v>330.85550000000001</v>
      </c>
      <c r="G765" s="198">
        <f t="shared" si="22"/>
        <v>63493394.571500234</v>
      </c>
      <c r="H765" s="233"/>
    </row>
    <row r="766" spans="1:8" s="75" customFormat="1" ht="15.75" x14ac:dyDescent="0.25">
      <c r="A766" s="234">
        <v>44717</v>
      </c>
      <c r="B766" s="237"/>
      <c r="C766" s="236" t="s">
        <v>13</v>
      </c>
      <c r="D766" s="236" t="s">
        <v>48</v>
      </c>
      <c r="E766" s="198">
        <v>11000</v>
      </c>
      <c r="F766" s="198">
        <f t="shared" ref="F766:F767" si="24">E766*0.025</f>
        <v>275</v>
      </c>
      <c r="G766" s="198">
        <f t="shared" si="22"/>
        <v>63504119.571500234</v>
      </c>
      <c r="H766" s="233"/>
    </row>
    <row r="767" spans="1:8" s="75" customFormat="1" ht="15.75" x14ac:dyDescent="0.25">
      <c r="A767" s="234">
        <v>44717</v>
      </c>
      <c r="B767" s="237"/>
      <c r="C767" s="236" t="s">
        <v>13</v>
      </c>
      <c r="D767" s="236" t="s">
        <v>48</v>
      </c>
      <c r="E767" s="198">
        <v>400</v>
      </c>
      <c r="F767" s="198">
        <f t="shared" si="24"/>
        <v>10</v>
      </c>
      <c r="G767" s="198">
        <f t="shared" si="22"/>
        <v>63504509.571500234</v>
      </c>
      <c r="H767" s="233"/>
    </row>
    <row r="768" spans="1:8" s="75" customFormat="1" ht="15.75" x14ac:dyDescent="0.25">
      <c r="A768" s="234">
        <v>44717</v>
      </c>
      <c r="B768" s="237"/>
      <c r="C768" s="236" t="s">
        <v>12</v>
      </c>
      <c r="D768" s="236" t="s">
        <v>23</v>
      </c>
      <c r="E768" s="198">
        <v>1135624.43</v>
      </c>
      <c r="F768" s="198"/>
      <c r="G768" s="198">
        <f t="shared" si="22"/>
        <v>64640134.001500234</v>
      </c>
    </row>
    <row r="769" spans="1:8" s="75" customFormat="1" ht="15.75" x14ac:dyDescent="0.25">
      <c r="A769" s="234">
        <v>44717</v>
      </c>
      <c r="B769" s="237"/>
      <c r="C769" s="236" t="s">
        <v>12</v>
      </c>
      <c r="D769" s="238" t="s">
        <v>1366</v>
      </c>
      <c r="E769" s="198"/>
      <c r="F769" s="198">
        <v>1135624.43</v>
      </c>
      <c r="G769" s="198">
        <f t="shared" si="22"/>
        <v>63504509.571500234</v>
      </c>
    </row>
    <row r="770" spans="1:8" s="75" customFormat="1" ht="15.75" x14ac:dyDescent="0.25">
      <c r="A770" s="234">
        <v>44717</v>
      </c>
      <c r="B770" s="237"/>
      <c r="C770" s="236" t="s">
        <v>12</v>
      </c>
      <c r="D770" s="236" t="s">
        <v>27</v>
      </c>
      <c r="E770" s="198">
        <v>1117437.75</v>
      </c>
      <c r="F770" s="198"/>
      <c r="G770" s="198">
        <f t="shared" si="22"/>
        <v>64621947.321500234</v>
      </c>
    </row>
    <row r="771" spans="1:8" s="75" customFormat="1" ht="15.75" x14ac:dyDescent="0.25">
      <c r="A771" s="234">
        <v>44717</v>
      </c>
      <c r="B771" s="237"/>
      <c r="C771" s="236" t="s">
        <v>12</v>
      </c>
      <c r="D771" s="236" t="s">
        <v>1366</v>
      </c>
      <c r="E771" s="198"/>
      <c r="F771" s="198">
        <v>1117437.75</v>
      </c>
      <c r="G771" s="198">
        <f t="shared" si="22"/>
        <v>63504509.571500234</v>
      </c>
    </row>
    <row r="772" spans="1:8" s="75" customFormat="1" ht="15.75" x14ac:dyDescent="0.25">
      <c r="A772" s="234">
        <v>44717</v>
      </c>
      <c r="B772" s="237"/>
      <c r="C772" s="236" t="s">
        <v>12</v>
      </c>
      <c r="D772" s="236" t="s">
        <v>23</v>
      </c>
      <c r="E772" s="198">
        <v>235163.3</v>
      </c>
      <c r="F772" s="198"/>
      <c r="G772" s="198">
        <f t="shared" si="22"/>
        <v>63739672.871500231</v>
      </c>
    </row>
    <row r="773" spans="1:8" s="75" customFormat="1" ht="15.75" x14ac:dyDescent="0.25">
      <c r="A773" s="234">
        <v>44717</v>
      </c>
      <c r="B773" s="237"/>
      <c r="C773" s="236" t="s">
        <v>12</v>
      </c>
      <c r="D773" s="236" t="s">
        <v>1366</v>
      </c>
      <c r="E773" s="198"/>
      <c r="F773" s="198">
        <v>235163.3</v>
      </c>
      <c r="G773" s="198">
        <f t="shared" si="22"/>
        <v>63504509.571500234</v>
      </c>
    </row>
    <row r="774" spans="1:8" s="75" customFormat="1" ht="15.75" x14ac:dyDescent="0.25">
      <c r="A774" s="234">
        <v>44717</v>
      </c>
      <c r="B774" s="237"/>
      <c r="C774" s="236" t="s">
        <v>12</v>
      </c>
      <c r="D774" s="236" t="s">
        <v>23</v>
      </c>
      <c r="E774" s="198">
        <v>15284.8</v>
      </c>
      <c r="F774" s="198"/>
      <c r="G774" s="198">
        <f t="shared" si="22"/>
        <v>63519794.371500231</v>
      </c>
    </row>
    <row r="775" spans="1:8" s="75" customFormat="1" ht="15.75" x14ac:dyDescent="0.25">
      <c r="A775" s="234">
        <v>44717</v>
      </c>
      <c r="B775" s="237"/>
      <c r="C775" s="236" t="s">
        <v>12</v>
      </c>
      <c r="D775" s="236" t="s">
        <v>1366</v>
      </c>
      <c r="E775" s="198"/>
      <c r="F775" s="198">
        <v>15284.8</v>
      </c>
      <c r="G775" s="198">
        <f t="shared" si="22"/>
        <v>63504509.571500234</v>
      </c>
    </row>
    <row r="776" spans="1:8" s="75" customFormat="1" ht="15.75" x14ac:dyDescent="0.25">
      <c r="A776" s="234">
        <v>44809</v>
      </c>
      <c r="B776" s="237"/>
      <c r="C776" s="236" t="s">
        <v>13</v>
      </c>
      <c r="D776" s="236" t="s">
        <v>22</v>
      </c>
      <c r="E776" s="198">
        <v>47646</v>
      </c>
      <c r="F776" s="198"/>
      <c r="G776" s="198">
        <f t="shared" si="22"/>
        <v>63552155.571500234</v>
      </c>
    </row>
    <row r="777" spans="1:8" s="75" customFormat="1" ht="15.75" x14ac:dyDescent="0.25">
      <c r="A777" s="234">
        <v>44809</v>
      </c>
      <c r="B777" s="237"/>
      <c r="C777" s="236" t="s">
        <v>13</v>
      </c>
      <c r="D777" s="236" t="s">
        <v>48</v>
      </c>
      <c r="E777" s="198">
        <v>14855.12</v>
      </c>
      <c r="F777" s="198">
        <f>E777*0.025</f>
        <v>371.37800000000004</v>
      </c>
      <c r="G777" s="198">
        <f t="shared" si="22"/>
        <v>63566639.313500233</v>
      </c>
      <c r="H777" s="233"/>
    </row>
    <row r="778" spans="1:8" s="75" customFormat="1" ht="15.75" x14ac:dyDescent="0.25">
      <c r="A778" s="234">
        <v>44809</v>
      </c>
      <c r="B778" s="237"/>
      <c r="C778" s="236" t="s">
        <v>13</v>
      </c>
      <c r="D778" s="236" t="s">
        <v>48</v>
      </c>
      <c r="E778" s="198">
        <v>100</v>
      </c>
      <c r="F778" s="198">
        <f t="shared" ref="F778:F779" si="25">E778*0.025</f>
        <v>2.5</v>
      </c>
      <c r="G778" s="198">
        <f t="shared" si="22"/>
        <v>63566736.813500233</v>
      </c>
      <c r="H778" s="233"/>
    </row>
    <row r="779" spans="1:8" s="75" customFormat="1" ht="15.75" x14ac:dyDescent="0.25">
      <c r="A779" s="234">
        <v>44809</v>
      </c>
      <c r="B779" s="237"/>
      <c r="C779" s="236" t="s">
        <v>13</v>
      </c>
      <c r="D779" s="236" t="s">
        <v>48</v>
      </c>
      <c r="E779" s="198">
        <v>108</v>
      </c>
      <c r="F779" s="198">
        <f t="shared" si="25"/>
        <v>2.7</v>
      </c>
      <c r="G779" s="198">
        <f t="shared" si="22"/>
        <v>63566842.11350023</v>
      </c>
      <c r="H779" s="233"/>
    </row>
    <row r="780" spans="1:8" s="75" customFormat="1" ht="15.75" x14ac:dyDescent="0.25">
      <c r="A780" s="234">
        <v>44809</v>
      </c>
      <c r="B780" s="237"/>
      <c r="C780" s="236" t="s">
        <v>12</v>
      </c>
      <c r="D780" s="236" t="s">
        <v>1278</v>
      </c>
      <c r="E780" s="198">
        <v>523558.65</v>
      </c>
      <c r="F780" s="198"/>
      <c r="G780" s="198">
        <f t="shared" si="22"/>
        <v>64090400.763500229</v>
      </c>
    </row>
    <row r="781" spans="1:8" s="75" customFormat="1" ht="34.5" customHeight="1" x14ac:dyDescent="0.25">
      <c r="A781" s="234">
        <v>44809</v>
      </c>
      <c r="B781" s="237" t="s">
        <v>1199</v>
      </c>
      <c r="C781" s="236" t="s">
        <v>1200</v>
      </c>
      <c r="D781" s="236" t="s">
        <v>1201</v>
      </c>
      <c r="E781" s="198"/>
      <c r="F781" s="198">
        <v>142500</v>
      </c>
      <c r="G781" s="198">
        <f t="shared" si="22"/>
        <v>63947900.763500229</v>
      </c>
    </row>
    <row r="782" spans="1:8" s="75" customFormat="1" ht="16.5" customHeight="1" x14ac:dyDescent="0.25">
      <c r="A782" s="234">
        <v>44809</v>
      </c>
      <c r="B782" s="237" t="s">
        <v>1202</v>
      </c>
      <c r="C782" s="236" t="s">
        <v>1203</v>
      </c>
      <c r="D782" s="236" t="s">
        <v>1204</v>
      </c>
      <c r="E782" s="198"/>
      <c r="F782" s="198">
        <v>173464.49</v>
      </c>
      <c r="G782" s="198">
        <f t="shared" si="22"/>
        <v>63774436.273500226</v>
      </c>
    </row>
    <row r="783" spans="1:8" s="75" customFormat="1" ht="16.5" customHeight="1" x14ac:dyDescent="0.25">
      <c r="A783" s="234">
        <v>44809</v>
      </c>
      <c r="B783" s="237"/>
      <c r="C783" s="236" t="s">
        <v>44</v>
      </c>
      <c r="D783" s="236" t="s">
        <v>1430</v>
      </c>
      <c r="E783" s="198">
        <v>493235.25</v>
      </c>
      <c r="F783" s="198"/>
      <c r="G783" s="198">
        <f t="shared" si="22"/>
        <v>64267671.523500226</v>
      </c>
    </row>
    <row r="784" spans="1:8" s="19" customFormat="1" ht="16.5" customHeight="1" x14ac:dyDescent="0.25">
      <c r="A784" s="234">
        <v>44809</v>
      </c>
      <c r="B784" s="237" t="s">
        <v>1205</v>
      </c>
      <c r="C784" s="236" t="s">
        <v>518</v>
      </c>
      <c r="D784" s="236" t="s">
        <v>1206</v>
      </c>
      <c r="E784" s="198"/>
      <c r="F784" s="198">
        <v>493235.25</v>
      </c>
      <c r="G784" s="198">
        <f t="shared" si="22"/>
        <v>63774436.273500226</v>
      </c>
      <c r="H784" s="75"/>
    </row>
    <row r="785" spans="1:8" s="19" customFormat="1" ht="16.5" customHeight="1" x14ac:dyDescent="0.25">
      <c r="A785" s="234">
        <v>44809</v>
      </c>
      <c r="B785" s="237" t="s">
        <v>1207</v>
      </c>
      <c r="C785" s="236" t="s">
        <v>1208</v>
      </c>
      <c r="D785" s="236" t="s">
        <v>1209</v>
      </c>
      <c r="E785" s="198"/>
      <c r="F785" s="198">
        <v>129200</v>
      </c>
      <c r="G785" s="198">
        <f t="shared" si="22"/>
        <v>63645236.273500226</v>
      </c>
      <c r="H785" s="75"/>
    </row>
    <row r="786" spans="1:8" s="19" customFormat="1" ht="16.5" customHeight="1" x14ac:dyDescent="0.25">
      <c r="A786" s="234">
        <v>44809</v>
      </c>
      <c r="B786" s="237" t="s">
        <v>1210</v>
      </c>
      <c r="C786" s="236" t="s">
        <v>1211</v>
      </c>
      <c r="D786" s="236" t="s">
        <v>1212</v>
      </c>
      <c r="E786" s="198"/>
      <c r="F786" s="198">
        <v>412438.7</v>
      </c>
      <c r="G786" s="198">
        <f t="shared" si="22"/>
        <v>63232797.573500223</v>
      </c>
      <c r="H786" s="75"/>
    </row>
    <row r="787" spans="1:8" s="19" customFormat="1" ht="16.5" customHeight="1" x14ac:dyDescent="0.25">
      <c r="A787" s="234">
        <v>44809</v>
      </c>
      <c r="B787" s="237" t="s">
        <v>1213</v>
      </c>
      <c r="C787" s="236" t="s">
        <v>918</v>
      </c>
      <c r="D787" s="236" t="s">
        <v>1214</v>
      </c>
      <c r="E787" s="198"/>
      <c r="F787" s="198">
        <v>70931.75</v>
      </c>
      <c r="G787" s="198">
        <f t="shared" si="22"/>
        <v>63161865.823500223</v>
      </c>
      <c r="H787" s="75"/>
    </row>
    <row r="788" spans="1:8" s="19" customFormat="1" ht="16.5" customHeight="1" x14ac:dyDescent="0.25">
      <c r="A788" s="234">
        <v>44809</v>
      </c>
      <c r="B788" s="237" t="s">
        <v>1215</v>
      </c>
      <c r="C788" s="236" t="s">
        <v>1216</v>
      </c>
      <c r="D788" s="236" t="s">
        <v>1217</v>
      </c>
      <c r="E788" s="198"/>
      <c r="F788" s="198">
        <v>21628.2</v>
      </c>
      <c r="G788" s="198">
        <f t="shared" si="22"/>
        <v>63140237.62350022</v>
      </c>
      <c r="H788" s="75"/>
    </row>
    <row r="789" spans="1:8" s="75" customFormat="1" ht="16.5" customHeight="1" x14ac:dyDescent="0.25">
      <c r="A789" s="234">
        <v>44839</v>
      </c>
      <c r="B789" s="237"/>
      <c r="C789" s="236" t="s">
        <v>13</v>
      </c>
      <c r="D789" s="236" t="s">
        <v>22</v>
      </c>
      <c r="E789" s="198">
        <v>69755</v>
      </c>
      <c r="F789" s="198"/>
      <c r="G789" s="198">
        <f t="shared" si="22"/>
        <v>63209992.62350022</v>
      </c>
    </row>
    <row r="790" spans="1:8" s="75" customFormat="1" ht="16.5" customHeight="1" x14ac:dyDescent="0.25">
      <c r="A790" s="234">
        <v>44839</v>
      </c>
      <c r="B790" s="237"/>
      <c r="C790" s="236" t="s">
        <v>13</v>
      </c>
      <c r="D790" s="236" t="s">
        <v>48</v>
      </c>
      <c r="E790" s="198">
        <v>283.2</v>
      </c>
      <c r="F790" s="198">
        <f>E790*0.025</f>
        <v>7.08</v>
      </c>
      <c r="G790" s="198">
        <f t="shared" si="22"/>
        <v>63210268.743500225</v>
      </c>
      <c r="H790" s="233"/>
    </row>
    <row r="791" spans="1:8" s="75" customFormat="1" ht="16.5" customHeight="1" x14ac:dyDescent="0.25">
      <c r="A791" s="234">
        <v>44839</v>
      </c>
      <c r="B791" s="237"/>
      <c r="C791" s="236" t="s">
        <v>13</v>
      </c>
      <c r="D791" s="236" t="s">
        <v>48</v>
      </c>
      <c r="E791" s="198">
        <v>420</v>
      </c>
      <c r="F791" s="198">
        <f t="shared" ref="F791:F793" si="26">E791*0.025</f>
        <v>10.5</v>
      </c>
      <c r="G791" s="198">
        <f t="shared" si="22"/>
        <v>63210678.243500225</v>
      </c>
      <c r="H791" s="233"/>
    </row>
    <row r="792" spans="1:8" s="75" customFormat="1" ht="16.5" customHeight="1" x14ac:dyDescent="0.25">
      <c r="A792" s="234">
        <v>44839</v>
      </c>
      <c r="B792" s="237"/>
      <c r="C792" s="236" t="s">
        <v>13</v>
      </c>
      <c r="D792" s="236" t="s">
        <v>48</v>
      </c>
      <c r="E792" s="198">
        <v>200</v>
      </c>
      <c r="F792" s="198">
        <f t="shared" si="26"/>
        <v>5</v>
      </c>
      <c r="G792" s="198">
        <f t="shared" si="22"/>
        <v>63210873.243500225</v>
      </c>
      <c r="H792" s="233"/>
    </row>
    <row r="793" spans="1:8" s="75" customFormat="1" ht="16.5" customHeight="1" x14ac:dyDescent="0.25">
      <c r="A793" s="234">
        <v>44839</v>
      </c>
      <c r="B793" s="237"/>
      <c r="C793" s="236" t="s">
        <v>13</v>
      </c>
      <c r="D793" s="236" t="s">
        <v>48</v>
      </c>
      <c r="E793" s="198">
        <v>200</v>
      </c>
      <c r="F793" s="198">
        <f t="shared" si="26"/>
        <v>5</v>
      </c>
      <c r="G793" s="198">
        <f t="shared" si="22"/>
        <v>63211068.243500225</v>
      </c>
      <c r="H793" s="233"/>
    </row>
    <row r="794" spans="1:8" s="19" customFormat="1" ht="16.5" customHeight="1" x14ac:dyDescent="0.25">
      <c r="A794" s="234">
        <v>44839</v>
      </c>
      <c r="B794" s="237" t="s">
        <v>1218</v>
      </c>
      <c r="C794" s="236" t="s">
        <v>1219</v>
      </c>
      <c r="D794" s="236" t="s">
        <v>1220</v>
      </c>
      <c r="E794" s="198"/>
      <c r="F794" s="198">
        <v>67481.320000000007</v>
      </c>
      <c r="G794" s="198">
        <f t="shared" si="22"/>
        <v>63143586.923500225</v>
      </c>
      <c r="H794" s="75"/>
    </row>
    <row r="795" spans="1:8" ht="50.25" customHeight="1" x14ac:dyDescent="0.25">
      <c r="A795" s="234">
        <v>44839</v>
      </c>
      <c r="B795" s="237" t="s">
        <v>1221</v>
      </c>
      <c r="C795" s="236" t="s">
        <v>1222</v>
      </c>
      <c r="D795" s="236" t="s">
        <v>1223</v>
      </c>
      <c r="E795" s="198"/>
      <c r="F795" s="198">
        <v>34538.300000000003</v>
      </c>
      <c r="G795" s="198">
        <f t="shared" si="22"/>
        <v>63109048.623500228</v>
      </c>
      <c r="H795" s="75"/>
    </row>
    <row r="796" spans="1:8" ht="31.5" x14ac:dyDescent="0.25">
      <c r="A796" s="234">
        <v>44839</v>
      </c>
      <c r="B796" s="237" t="s">
        <v>1224</v>
      </c>
      <c r="C796" s="236" t="s">
        <v>1225</v>
      </c>
      <c r="D796" s="236" t="s">
        <v>1226</v>
      </c>
      <c r="E796" s="198"/>
      <c r="F796" s="198">
        <v>4200</v>
      </c>
      <c r="G796" s="198">
        <f t="shared" si="22"/>
        <v>63104848.623500228</v>
      </c>
      <c r="H796" s="75"/>
    </row>
    <row r="797" spans="1:8" s="80" customFormat="1" ht="16.5" customHeight="1" x14ac:dyDescent="0.25">
      <c r="A797" s="234">
        <v>44870</v>
      </c>
      <c r="B797" s="237"/>
      <c r="C797" s="236" t="s">
        <v>13</v>
      </c>
      <c r="D797" s="236" t="s">
        <v>22</v>
      </c>
      <c r="E797" s="198">
        <v>36655</v>
      </c>
      <c r="F797" s="198"/>
      <c r="G797" s="198">
        <f t="shared" si="22"/>
        <v>63141503.623500228</v>
      </c>
      <c r="H797" s="75"/>
    </row>
    <row r="798" spans="1:8" s="80" customFormat="1" ht="16.5" customHeight="1" x14ac:dyDescent="0.25">
      <c r="A798" s="234">
        <v>44870</v>
      </c>
      <c r="B798" s="237"/>
      <c r="C798" s="236" t="s">
        <v>13</v>
      </c>
      <c r="D798" s="236" t="s">
        <v>48</v>
      </c>
      <c r="E798" s="198">
        <v>500</v>
      </c>
      <c r="F798" s="198">
        <f>E798*0.025</f>
        <v>12.5</v>
      </c>
      <c r="G798" s="198">
        <f t="shared" si="22"/>
        <v>63141991.123500228</v>
      </c>
      <c r="H798" s="233"/>
    </row>
    <row r="799" spans="1:8" s="80" customFormat="1" ht="16.5" customHeight="1" x14ac:dyDescent="0.25">
      <c r="A799" s="234">
        <v>44870</v>
      </c>
      <c r="B799" s="237"/>
      <c r="C799" s="236" t="s">
        <v>13</v>
      </c>
      <c r="D799" s="236" t="s">
        <v>48</v>
      </c>
      <c r="E799" s="198">
        <v>1116.5</v>
      </c>
      <c r="F799" s="198">
        <f t="shared" ref="F799:F800" si="27">E799*0.025</f>
        <v>27.912500000000001</v>
      </c>
      <c r="G799" s="198">
        <f t="shared" si="22"/>
        <v>63143079.711000226</v>
      </c>
      <c r="H799" s="233"/>
    </row>
    <row r="800" spans="1:8" s="80" customFormat="1" ht="16.5" customHeight="1" x14ac:dyDescent="0.25">
      <c r="A800" s="234">
        <v>44870</v>
      </c>
      <c r="B800" s="237"/>
      <c r="C800" s="236" t="s">
        <v>13</v>
      </c>
      <c r="D800" s="236" t="s">
        <v>48</v>
      </c>
      <c r="E800" s="198">
        <v>343</v>
      </c>
      <c r="F800" s="198">
        <f t="shared" si="27"/>
        <v>8.5750000000000011</v>
      </c>
      <c r="G800" s="198">
        <f t="shared" si="22"/>
        <v>63143414.136000223</v>
      </c>
      <c r="H800" s="233"/>
    </row>
    <row r="801" spans="1:9" s="80" customFormat="1" ht="16.5" customHeight="1" x14ac:dyDescent="0.25">
      <c r="A801" s="234">
        <v>44870</v>
      </c>
      <c r="B801" s="237"/>
      <c r="C801" s="236" t="s">
        <v>12</v>
      </c>
      <c r="D801" s="236" t="s">
        <v>590</v>
      </c>
      <c r="E801" s="198">
        <v>100030.81</v>
      </c>
      <c r="F801" s="198"/>
      <c r="G801" s="198">
        <f t="shared" si="22"/>
        <v>63243444.946000226</v>
      </c>
      <c r="H801" s="75"/>
    </row>
    <row r="802" spans="1:9" s="80" customFormat="1" ht="16.5" customHeight="1" x14ac:dyDescent="0.25">
      <c r="A802" s="234">
        <v>44900</v>
      </c>
      <c r="B802" s="237"/>
      <c r="C802" s="236" t="s">
        <v>13</v>
      </c>
      <c r="D802" s="236" t="s">
        <v>22</v>
      </c>
      <c r="E802" s="198">
        <v>47576</v>
      </c>
      <c r="F802" s="198"/>
      <c r="G802" s="198">
        <f t="shared" si="22"/>
        <v>63291020.946000226</v>
      </c>
      <c r="H802" s="75"/>
    </row>
    <row r="803" spans="1:9" s="80" customFormat="1" ht="16.5" customHeight="1" x14ac:dyDescent="0.25">
      <c r="A803" s="234">
        <v>44900</v>
      </c>
      <c r="B803" s="237"/>
      <c r="C803" s="236" t="s">
        <v>13</v>
      </c>
      <c r="D803" s="236" t="s">
        <v>48</v>
      </c>
      <c r="E803" s="198">
        <v>2450</v>
      </c>
      <c r="F803" s="198">
        <f>E803*0.025</f>
        <v>61.25</v>
      </c>
      <c r="G803" s="198">
        <f t="shared" si="22"/>
        <v>63293409.696000226</v>
      </c>
      <c r="H803" s="233"/>
    </row>
    <row r="804" spans="1:9" s="80" customFormat="1" ht="16.5" customHeight="1" x14ac:dyDescent="0.25">
      <c r="A804" s="234">
        <v>44900</v>
      </c>
      <c r="B804" s="237"/>
      <c r="C804" s="236" t="s">
        <v>13</v>
      </c>
      <c r="D804" s="236" t="s">
        <v>48</v>
      </c>
      <c r="E804" s="198">
        <v>585</v>
      </c>
      <c r="F804" s="198">
        <f>E804*0.025</f>
        <v>14.625</v>
      </c>
      <c r="G804" s="198">
        <f t="shared" si="22"/>
        <v>63293980.071000226</v>
      </c>
      <c r="H804" s="233"/>
    </row>
    <row r="805" spans="1:9" ht="16.5" customHeight="1" x14ac:dyDescent="0.25">
      <c r="A805" s="234">
        <v>44900</v>
      </c>
      <c r="B805" s="237" t="s">
        <v>1227</v>
      </c>
      <c r="C805" s="236" t="s">
        <v>1228</v>
      </c>
      <c r="D805" s="236" t="s">
        <v>1229</v>
      </c>
      <c r="E805" s="198"/>
      <c r="F805" s="198">
        <v>1431040.24</v>
      </c>
      <c r="G805" s="198">
        <f t="shared" si="22"/>
        <v>61862939.831000224</v>
      </c>
      <c r="H805" s="75"/>
    </row>
    <row r="806" spans="1:9" ht="31.5" x14ac:dyDescent="0.25">
      <c r="A806" s="234">
        <v>44900</v>
      </c>
      <c r="B806" s="237" t="s">
        <v>1230</v>
      </c>
      <c r="C806" s="236" t="s">
        <v>1231</v>
      </c>
      <c r="D806" s="236" t="s">
        <v>1232</v>
      </c>
      <c r="E806" s="198"/>
      <c r="F806" s="198">
        <v>501296.1</v>
      </c>
      <c r="G806" s="198">
        <f t="shared" si="22"/>
        <v>61361643.731000222</v>
      </c>
      <c r="H806" s="75"/>
    </row>
    <row r="807" spans="1:9" ht="31.5" x14ac:dyDescent="0.25">
      <c r="A807" s="234">
        <v>44900</v>
      </c>
      <c r="B807" s="237" t="s">
        <v>1233</v>
      </c>
      <c r="C807" s="236" t="s">
        <v>132</v>
      </c>
      <c r="D807" s="236" t="s">
        <v>1234</v>
      </c>
      <c r="E807" s="198"/>
      <c r="F807" s="198">
        <v>919470.96</v>
      </c>
      <c r="G807" s="198">
        <f t="shared" si="22"/>
        <v>60442172.771000221</v>
      </c>
      <c r="H807" s="75"/>
    </row>
    <row r="808" spans="1:9" ht="16.5" customHeight="1" x14ac:dyDescent="0.25">
      <c r="A808" s="234">
        <v>44900</v>
      </c>
      <c r="B808" s="237" t="s">
        <v>1235</v>
      </c>
      <c r="C808" s="236" t="s">
        <v>1236</v>
      </c>
      <c r="D808" s="236" t="s">
        <v>1237</v>
      </c>
      <c r="E808" s="198"/>
      <c r="F808" s="198">
        <v>433948.25</v>
      </c>
      <c r="G808" s="198">
        <f t="shared" si="22"/>
        <v>60008224.521000221</v>
      </c>
      <c r="H808" s="75"/>
    </row>
    <row r="809" spans="1:9" s="80" customFormat="1" ht="16.5" customHeight="1" x14ac:dyDescent="0.25">
      <c r="A809" s="234" t="s">
        <v>1279</v>
      </c>
      <c r="B809" s="237"/>
      <c r="C809" s="236" t="s">
        <v>13</v>
      </c>
      <c r="D809" s="236" t="s">
        <v>22</v>
      </c>
      <c r="E809" s="198">
        <v>106424</v>
      </c>
      <c r="F809" s="198"/>
      <c r="G809" s="198">
        <f t="shared" si="22"/>
        <v>60114648.521000221</v>
      </c>
      <c r="H809" s="75"/>
    </row>
    <row r="810" spans="1:9" s="80" customFormat="1" ht="16.5" customHeight="1" x14ac:dyDescent="0.25">
      <c r="A810" s="234" t="s">
        <v>1280</v>
      </c>
      <c r="B810" s="237"/>
      <c r="C810" s="236" t="s">
        <v>13</v>
      </c>
      <c r="D810" s="236" t="s">
        <v>48</v>
      </c>
      <c r="E810" s="198">
        <v>13539.38</v>
      </c>
      <c r="F810" s="198">
        <f>E810*0.025</f>
        <v>338.48450000000003</v>
      </c>
      <c r="G810" s="198">
        <f t="shared" si="22"/>
        <v>60127849.416500226</v>
      </c>
      <c r="H810" s="233"/>
      <c r="I810" s="215"/>
    </row>
    <row r="811" spans="1:9" s="80" customFormat="1" ht="16.5" customHeight="1" x14ac:dyDescent="0.25">
      <c r="A811" s="234" t="s">
        <v>1281</v>
      </c>
      <c r="B811" s="237"/>
      <c r="C811" s="236" t="s">
        <v>13</v>
      </c>
      <c r="D811" s="236" t="s">
        <v>48</v>
      </c>
      <c r="E811" s="198">
        <v>300.39999999999998</v>
      </c>
      <c r="F811" s="198">
        <f t="shared" ref="F811:F814" si="28">E811*0.025</f>
        <v>7.51</v>
      </c>
      <c r="G811" s="198">
        <f t="shared" si="22"/>
        <v>60128142.306500226</v>
      </c>
      <c r="H811" s="233"/>
    </row>
    <row r="812" spans="1:9" s="80" customFormat="1" ht="16.5" customHeight="1" x14ac:dyDescent="0.25">
      <c r="A812" s="234" t="s">
        <v>1282</v>
      </c>
      <c r="B812" s="237"/>
      <c r="C812" s="236" t="s">
        <v>13</v>
      </c>
      <c r="D812" s="236" t="s">
        <v>48</v>
      </c>
      <c r="E812" s="198">
        <v>790.6</v>
      </c>
      <c r="F812" s="198">
        <f t="shared" si="28"/>
        <v>19.765000000000001</v>
      </c>
      <c r="G812" s="198">
        <f t="shared" si="22"/>
        <v>60128913.141500227</v>
      </c>
      <c r="H812" s="233"/>
    </row>
    <row r="813" spans="1:9" s="80" customFormat="1" ht="16.5" customHeight="1" x14ac:dyDescent="0.25">
      <c r="A813" s="234" t="s">
        <v>1283</v>
      </c>
      <c r="B813" s="237"/>
      <c r="C813" s="236" t="s">
        <v>13</v>
      </c>
      <c r="D813" s="236" t="s">
        <v>48</v>
      </c>
      <c r="E813" s="198">
        <v>900</v>
      </c>
      <c r="F813" s="198">
        <f t="shared" si="28"/>
        <v>22.5</v>
      </c>
      <c r="G813" s="198">
        <f t="shared" si="22"/>
        <v>60129790.641500227</v>
      </c>
      <c r="H813" s="233"/>
    </row>
    <row r="814" spans="1:9" s="80" customFormat="1" ht="16.5" customHeight="1" x14ac:dyDescent="0.25">
      <c r="A814" s="234" t="s">
        <v>1279</v>
      </c>
      <c r="B814" s="237"/>
      <c r="C814" s="236" t="s">
        <v>13</v>
      </c>
      <c r="D814" s="236" t="s">
        <v>48</v>
      </c>
      <c r="E814" s="198">
        <v>1248.24</v>
      </c>
      <c r="F814" s="198">
        <f t="shared" si="28"/>
        <v>31.206000000000003</v>
      </c>
      <c r="G814" s="198">
        <f t="shared" si="22"/>
        <v>60131007.675500229</v>
      </c>
      <c r="H814" s="233"/>
    </row>
    <row r="815" spans="1:9" ht="51" customHeight="1" x14ac:dyDescent="0.25">
      <c r="A815" s="237" t="s">
        <v>1279</v>
      </c>
      <c r="B815" s="237" t="s">
        <v>1238</v>
      </c>
      <c r="C815" s="236" t="s">
        <v>1239</v>
      </c>
      <c r="D815" s="236" t="s">
        <v>1240</v>
      </c>
      <c r="E815" s="198"/>
      <c r="F815" s="198">
        <v>1385399.84</v>
      </c>
      <c r="G815" s="198">
        <f t="shared" si="22"/>
        <v>58745607.835500225</v>
      </c>
      <c r="H815" s="75"/>
    </row>
    <row r="816" spans="1:9" ht="16.5" customHeight="1" x14ac:dyDescent="0.25">
      <c r="A816" s="237" t="s">
        <v>1279</v>
      </c>
      <c r="B816" s="237" t="s">
        <v>1241</v>
      </c>
      <c r="C816" s="236" t="s">
        <v>1242</v>
      </c>
      <c r="D816" s="236" t="s">
        <v>1243</v>
      </c>
      <c r="E816" s="198"/>
      <c r="F816" s="198">
        <v>1783140</v>
      </c>
      <c r="G816" s="198">
        <f t="shared" si="22"/>
        <v>56962467.835500225</v>
      </c>
      <c r="H816" s="75"/>
    </row>
    <row r="817" spans="1:8" ht="16.5" customHeight="1" x14ac:dyDescent="0.25">
      <c r="A817" s="237" t="s">
        <v>1279</v>
      </c>
      <c r="B817" s="237" t="s">
        <v>1244</v>
      </c>
      <c r="C817" s="236" t="s">
        <v>1245</v>
      </c>
      <c r="D817" s="236" t="s">
        <v>1246</v>
      </c>
      <c r="E817" s="198"/>
      <c r="F817" s="198">
        <v>178410</v>
      </c>
      <c r="G817" s="198">
        <f t="shared" si="22"/>
        <v>56784057.835500225</v>
      </c>
      <c r="H817" s="75"/>
    </row>
    <row r="818" spans="1:8" ht="16.5" customHeight="1" x14ac:dyDescent="0.25">
      <c r="A818" s="237" t="s">
        <v>1279</v>
      </c>
      <c r="B818" s="237" t="s">
        <v>1247</v>
      </c>
      <c r="C818" s="236" t="s">
        <v>51</v>
      </c>
      <c r="D818" s="236" t="s">
        <v>1248</v>
      </c>
      <c r="E818" s="198"/>
      <c r="F818" s="198">
        <v>505386</v>
      </c>
      <c r="G818" s="198">
        <f t="shared" si="22"/>
        <v>56278671.835500225</v>
      </c>
      <c r="H818" s="75"/>
    </row>
    <row r="819" spans="1:8" s="80" customFormat="1" ht="16.5" customHeight="1" x14ac:dyDescent="0.25">
      <c r="A819" s="237" t="s">
        <v>1279</v>
      </c>
      <c r="B819" s="237" t="s">
        <v>1300</v>
      </c>
      <c r="C819" s="236" t="s">
        <v>32</v>
      </c>
      <c r="D819" s="236" t="s">
        <v>1133</v>
      </c>
      <c r="E819" s="198"/>
      <c r="F819" s="198">
        <v>78000</v>
      </c>
      <c r="G819" s="198">
        <f t="shared" si="22"/>
        <v>56200671.835500225</v>
      </c>
      <c r="H819" s="75"/>
    </row>
    <row r="820" spans="1:8" s="80" customFormat="1" ht="16.5" customHeight="1" x14ac:dyDescent="0.25">
      <c r="A820" s="237" t="s">
        <v>1279</v>
      </c>
      <c r="B820" s="237" t="s">
        <v>1301</v>
      </c>
      <c r="C820" s="236" t="s">
        <v>32</v>
      </c>
      <c r="D820" s="236" t="s">
        <v>1302</v>
      </c>
      <c r="E820" s="198"/>
      <c r="F820" s="198">
        <v>890572.33</v>
      </c>
      <c r="G820" s="198">
        <f t="shared" si="22"/>
        <v>55310099.505500227</v>
      </c>
      <c r="H820" s="75"/>
    </row>
    <row r="821" spans="1:8" s="80" customFormat="1" ht="16.5" customHeight="1" x14ac:dyDescent="0.25">
      <c r="A821" s="237" t="s">
        <v>1284</v>
      </c>
      <c r="B821" s="237" t="s">
        <v>1303</v>
      </c>
      <c r="C821" s="236" t="s">
        <v>32</v>
      </c>
      <c r="D821" s="236" t="s">
        <v>1302</v>
      </c>
      <c r="E821" s="198"/>
      <c r="F821" s="198">
        <v>8371331.7999999998</v>
      </c>
      <c r="G821" s="198">
        <f t="shared" si="22"/>
        <v>46938767.70550023</v>
      </c>
      <c r="H821" s="75"/>
    </row>
    <row r="822" spans="1:8" s="80" customFormat="1" ht="15.75" x14ac:dyDescent="0.25">
      <c r="A822" s="237" t="s">
        <v>1284</v>
      </c>
      <c r="B822" s="237" t="s">
        <v>1304</v>
      </c>
      <c r="C822" s="236" t="s">
        <v>32</v>
      </c>
      <c r="D822" s="236" t="s">
        <v>1305</v>
      </c>
      <c r="E822" s="198">
        <v>31558014.059999999</v>
      </c>
      <c r="F822" s="198"/>
      <c r="G822" s="198">
        <f t="shared" si="22"/>
        <v>78496781.765500233</v>
      </c>
      <c r="H822" s="75"/>
    </row>
    <row r="823" spans="1:8" s="80" customFormat="1" ht="31.5" x14ac:dyDescent="0.25">
      <c r="A823" s="237" t="s">
        <v>1284</v>
      </c>
      <c r="B823" s="237" t="s">
        <v>1304</v>
      </c>
      <c r="C823" s="236" t="s">
        <v>32</v>
      </c>
      <c r="D823" s="236" t="s">
        <v>1306</v>
      </c>
      <c r="E823" s="198"/>
      <c r="F823" s="198">
        <v>27357512.899999999</v>
      </c>
      <c r="G823" s="198">
        <f t="shared" si="22"/>
        <v>51139268.865500234</v>
      </c>
      <c r="H823" s="75"/>
    </row>
    <row r="824" spans="1:8" s="80" customFormat="1" ht="31.5" x14ac:dyDescent="0.25">
      <c r="A824" s="237" t="s">
        <v>1284</v>
      </c>
      <c r="B824" s="237" t="s">
        <v>1304</v>
      </c>
      <c r="C824" s="236" t="s">
        <v>32</v>
      </c>
      <c r="D824" s="236" t="s">
        <v>1307</v>
      </c>
      <c r="E824" s="198"/>
      <c r="F824" s="198">
        <v>1939647.84</v>
      </c>
      <c r="G824" s="198">
        <f t="shared" si="22"/>
        <v>49199621.02550023</v>
      </c>
      <c r="H824" s="75"/>
    </row>
    <row r="825" spans="1:8" s="80" customFormat="1" ht="31.5" x14ac:dyDescent="0.25">
      <c r="A825" s="237" t="s">
        <v>1284</v>
      </c>
      <c r="B825" s="237" t="s">
        <v>1304</v>
      </c>
      <c r="C825" s="236" t="s">
        <v>32</v>
      </c>
      <c r="D825" s="236" t="s">
        <v>1308</v>
      </c>
      <c r="E825" s="198"/>
      <c r="F825" s="198">
        <v>1942383.82</v>
      </c>
      <c r="G825" s="198">
        <f t="shared" si="22"/>
        <v>47257237.20550023</v>
      </c>
      <c r="H825" s="75"/>
    </row>
    <row r="826" spans="1:8" s="80" customFormat="1" ht="15.75" x14ac:dyDescent="0.25">
      <c r="A826" s="237" t="s">
        <v>1284</v>
      </c>
      <c r="B826" s="237" t="s">
        <v>1304</v>
      </c>
      <c r="C826" s="236" t="s">
        <v>32</v>
      </c>
      <c r="D826" s="236" t="s">
        <v>1309</v>
      </c>
      <c r="E826" s="198"/>
      <c r="F826" s="198">
        <v>318469.5</v>
      </c>
      <c r="G826" s="198">
        <f t="shared" si="22"/>
        <v>46938767.70550023</v>
      </c>
      <c r="H826" s="75"/>
    </row>
    <row r="827" spans="1:8" s="80" customFormat="1" ht="16.5" customHeight="1" x14ac:dyDescent="0.25">
      <c r="A827" s="237" t="s">
        <v>1284</v>
      </c>
      <c r="B827" s="237"/>
      <c r="C827" s="236" t="s">
        <v>13</v>
      </c>
      <c r="D827" s="236" t="s">
        <v>22</v>
      </c>
      <c r="E827" s="198">
        <v>30893</v>
      </c>
      <c r="F827" s="198"/>
      <c r="G827" s="198">
        <f t="shared" si="22"/>
        <v>46969660.70550023</v>
      </c>
      <c r="H827" s="75"/>
    </row>
    <row r="828" spans="1:8" s="80" customFormat="1" ht="16.5" customHeight="1" x14ac:dyDescent="0.25">
      <c r="A828" s="237" t="s">
        <v>1284</v>
      </c>
      <c r="B828" s="237"/>
      <c r="C828" s="236" t="s">
        <v>13</v>
      </c>
      <c r="D828" s="236" t="s">
        <v>48</v>
      </c>
      <c r="E828" s="198">
        <v>300.39999999999998</v>
      </c>
      <c r="F828" s="198">
        <f>E828*0.025</f>
        <v>7.51</v>
      </c>
      <c r="G828" s="198">
        <f t="shared" si="22"/>
        <v>46969953.595500231</v>
      </c>
      <c r="H828" s="233"/>
    </row>
    <row r="829" spans="1:8" s="80" customFormat="1" ht="16.5" customHeight="1" x14ac:dyDescent="0.25">
      <c r="A829" s="237" t="s">
        <v>1284</v>
      </c>
      <c r="B829" s="237"/>
      <c r="C829" s="236" t="s">
        <v>13</v>
      </c>
      <c r="D829" s="236" t="s">
        <v>48</v>
      </c>
      <c r="E829" s="198">
        <v>200</v>
      </c>
      <c r="F829" s="198">
        <f>E829*0.025</f>
        <v>5</v>
      </c>
      <c r="G829" s="198">
        <f t="shared" si="22"/>
        <v>46970148.595500231</v>
      </c>
      <c r="H829" s="233"/>
    </row>
    <row r="830" spans="1:8" s="80" customFormat="1" ht="16.5" customHeight="1" x14ac:dyDescent="0.25">
      <c r="A830" s="237" t="s">
        <v>1285</v>
      </c>
      <c r="B830" s="237"/>
      <c r="C830" s="236" t="s">
        <v>13</v>
      </c>
      <c r="D830" s="236" t="s">
        <v>22</v>
      </c>
      <c r="E830" s="198">
        <v>43101</v>
      </c>
      <c r="F830" s="198"/>
      <c r="G830" s="198">
        <f t="shared" si="22"/>
        <v>47013249.595500231</v>
      </c>
      <c r="H830" s="75"/>
    </row>
    <row r="831" spans="1:8" s="80" customFormat="1" ht="16.5" customHeight="1" x14ac:dyDescent="0.25">
      <c r="A831" s="237" t="s">
        <v>1285</v>
      </c>
      <c r="B831" s="237"/>
      <c r="C831" s="236" t="s">
        <v>13</v>
      </c>
      <c r="D831" s="236" t="s">
        <v>48</v>
      </c>
      <c r="E831" s="198">
        <v>100</v>
      </c>
      <c r="F831" s="198">
        <f>E831*0.025</f>
        <v>2.5</v>
      </c>
      <c r="G831" s="198">
        <f t="shared" si="22"/>
        <v>47013347.095500231</v>
      </c>
      <c r="H831" s="233"/>
    </row>
    <row r="832" spans="1:8" s="80" customFormat="1" ht="16.5" customHeight="1" x14ac:dyDescent="0.25">
      <c r="A832" s="237" t="s">
        <v>1285</v>
      </c>
      <c r="B832" s="237"/>
      <c r="C832" s="236" t="s">
        <v>13</v>
      </c>
      <c r="D832" s="236" t="s">
        <v>48</v>
      </c>
      <c r="E832" s="198">
        <v>2258.1</v>
      </c>
      <c r="F832" s="198">
        <f>E832*0.025</f>
        <v>56.452500000000001</v>
      </c>
      <c r="G832" s="198">
        <f t="shared" si="22"/>
        <v>47015548.743000232</v>
      </c>
      <c r="H832" s="233"/>
    </row>
    <row r="833" spans="1:8" ht="31.5" x14ac:dyDescent="0.25">
      <c r="A833" s="237" t="s">
        <v>1285</v>
      </c>
      <c r="B833" s="237" t="s">
        <v>1249</v>
      </c>
      <c r="C833" s="236" t="s">
        <v>1250</v>
      </c>
      <c r="D833" s="236" t="s">
        <v>1251</v>
      </c>
      <c r="E833" s="198"/>
      <c r="F833" s="198">
        <v>570000</v>
      </c>
      <c r="G833" s="198">
        <f t="shared" si="22"/>
        <v>46445548.743000232</v>
      </c>
      <c r="H833" s="75"/>
    </row>
    <row r="834" spans="1:8" ht="16.5" customHeight="1" x14ac:dyDescent="0.25">
      <c r="A834" s="237" t="s">
        <v>1286</v>
      </c>
      <c r="B834" s="237"/>
      <c r="C834" s="236" t="s">
        <v>13</v>
      </c>
      <c r="D834" s="236" t="s">
        <v>22</v>
      </c>
      <c r="E834" s="198">
        <v>42310</v>
      </c>
      <c r="F834" s="198"/>
      <c r="G834" s="198">
        <f t="shared" si="22"/>
        <v>46487858.743000232</v>
      </c>
      <c r="H834" s="75"/>
    </row>
    <row r="835" spans="1:8" ht="16.5" customHeight="1" x14ac:dyDescent="0.25">
      <c r="A835" s="237" t="s">
        <v>1286</v>
      </c>
      <c r="B835" s="237"/>
      <c r="C835" s="236" t="s">
        <v>13</v>
      </c>
      <c r="D835" s="236" t="s">
        <v>48</v>
      </c>
      <c r="E835" s="198">
        <v>98</v>
      </c>
      <c r="F835" s="198">
        <f>E835*0.025</f>
        <v>2.4500000000000002</v>
      </c>
      <c r="G835" s="198">
        <f t="shared" si="22"/>
        <v>46487954.293000229</v>
      </c>
      <c r="H835" s="233"/>
    </row>
    <row r="836" spans="1:8" ht="16.5" customHeight="1" x14ac:dyDescent="0.25">
      <c r="A836" s="237" t="s">
        <v>1286</v>
      </c>
      <c r="B836" s="237"/>
      <c r="C836" s="236" t="s">
        <v>13</v>
      </c>
      <c r="D836" s="236" t="s">
        <v>48</v>
      </c>
      <c r="E836" s="198">
        <v>861</v>
      </c>
      <c r="F836" s="198">
        <f t="shared" ref="F836:F838" si="29">E836*0.025</f>
        <v>21.525000000000002</v>
      </c>
      <c r="G836" s="198">
        <f t="shared" si="22"/>
        <v>46488793.76800023</v>
      </c>
      <c r="H836" s="233"/>
    </row>
    <row r="837" spans="1:8" ht="16.5" customHeight="1" x14ac:dyDescent="0.25">
      <c r="A837" s="237" t="s">
        <v>1286</v>
      </c>
      <c r="B837" s="237"/>
      <c r="C837" s="236" t="s">
        <v>13</v>
      </c>
      <c r="D837" s="236" t="s">
        <v>48</v>
      </c>
      <c r="E837" s="198">
        <v>594.4</v>
      </c>
      <c r="F837" s="198">
        <f t="shared" si="29"/>
        <v>14.86</v>
      </c>
      <c r="G837" s="198">
        <f t="shared" si="22"/>
        <v>46489373.308000229</v>
      </c>
      <c r="H837" s="233"/>
    </row>
    <row r="838" spans="1:8" ht="16.5" customHeight="1" x14ac:dyDescent="0.25">
      <c r="A838" s="237" t="s">
        <v>1286</v>
      </c>
      <c r="B838" s="237"/>
      <c r="C838" s="236" t="s">
        <v>13</v>
      </c>
      <c r="D838" s="236" t="s">
        <v>48</v>
      </c>
      <c r="E838" s="198">
        <v>1109.7</v>
      </c>
      <c r="F838" s="198">
        <f t="shared" si="29"/>
        <v>27.742500000000003</v>
      </c>
      <c r="G838" s="198">
        <f t="shared" si="22"/>
        <v>46490455.265500233</v>
      </c>
      <c r="H838" s="233"/>
    </row>
    <row r="839" spans="1:8" s="80" customFormat="1" ht="16.5" customHeight="1" x14ac:dyDescent="0.25">
      <c r="A839" s="237" t="s">
        <v>1287</v>
      </c>
      <c r="B839" s="237"/>
      <c r="C839" s="236" t="s">
        <v>13</v>
      </c>
      <c r="D839" s="236" t="s">
        <v>22</v>
      </c>
      <c r="E839" s="198">
        <v>32533</v>
      </c>
      <c r="F839" s="198"/>
      <c r="G839" s="198">
        <f t="shared" ref="G839:G902" si="30">G838+E839-F839</f>
        <v>46522988.265500233</v>
      </c>
      <c r="H839" s="75"/>
    </row>
    <row r="840" spans="1:8" s="80" customFormat="1" ht="16.5" customHeight="1" x14ac:dyDescent="0.25">
      <c r="A840" s="237" t="s">
        <v>1287</v>
      </c>
      <c r="B840" s="237"/>
      <c r="C840" s="236" t="s">
        <v>13</v>
      </c>
      <c r="D840" s="236" t="s">
        <v>48</v>
      </c>
      <c r="E840" s="198">
        <v>235.48</v>
      </c>
      <c r="F840" s="198">
        <f>E840*0.025</f>
        <v>5.8870000000000005</v>
      </c>
      <c r="G840" s="198">
        <f t="shared" si="30"/>
        <v>46523217.858500227</v>
      </c>
      <c r="H840" s="233"/>
    </row>
    <row r="841" spans="1:8" s="80" customFormat="1" ht="16.5" customHeight="1" x14ac:dyDescent="0.25">
      <c r="A841" s="237" t="s">
        <v>1287</v>
      </c>
      <c r="B841" s="237"/>
      <c r="C841" s="236" t="s">
        <v>13</v>
      </c>
      <c r="D841" s="236" t="s">
        <v>48</v>
      </c>
      <c r="E841" s="198">
        <v>494.5</v>
      </c>
      <c r="F841" s="198">
        <f t="shared" ref="F841:F842" si="31">E841*0.025</f>
        <v>12.362500000000001</v>
      </c>
      <c r="G841" s="198">
        <f t="shared" si="30"/>
        <v>46523699.99600023</v>
      </c>
      <c r="H841" s="233"/>
    </row>
    <row r="842" spans="1:8" s="80" customFormat="1" ht="16.5" customHeight="1" x14ac:dyDescent="0.25">
      <c r="A842" s="237" t="s">
        <v>1287</v>
      </c>
      <c r="B842" s="237"/>
      <c r="C842" s="236" t="s">
        <v>13</v>
      </c>
      <c r="D842" s="236" t="s">
        <v>48</v>
      </c>
      <c r="E842" s="198">
        <v>100</v>
      </c>
      <c r="F842" s="198">
        <f t="shared" si="31"/>
        <v>2.5</v>
      </c>
      <c r="G842" s="198">
        <f t="shared" si="30"/>
        <v>46523797.49600023</v>
      </c>
      <c r="H842" s="233"/>
    </row>
    <row r="843" spans="1:8" s="80" customFormat="1" ht="16.5" customHeight="1" x14ac:dyDescent="0.25">
      <c r="A843" s="237" t="s">
        <v>1287</v>
      </c>
      <c r="B843" s="237"/>
      <c r="C843" s="236" t="s">
        <v>12</v>
      </c>
      <c r="D843" s="236" t="s">
        <v>1288</v>
      </c>
      <c r="E843" s="198">
        <v>2458826.92</v>
      </c>
      <c r="F843" s="198"/>
      <c r="G843" s="198">
        <f t="shared" si="30"/>
        <v>48982624.416000232</v>
      </c>
      <c r="H843" s="75"/>
    </row>
    <row r="844" spans="1:8" s="80" customFormat="1" ht="16.5" customHeight="1" x14ac:dyDescent="0.25">
      <c r="A844" s="237" t="s">
        <v>1287</v>
      </c>
      <c r="B844" s="237"/>
      <c r="C844" s="236" t="s">
        <v>12</v>
      </c>
      <c r="D844" s="236" t="s">
        <v>1289</v>
      </c>
      <c r="E844" s="198">
        <v>380656.49</v>
      </c>
      <c r="F844" s="198"/>
      <c r="G844" s="198">
        <f t="shared" si="30"/>
        <v>49363280.906000234</v>
      </c>
      <c r="H844" s="75"/>
    </row>
    <row r="845" spans="1:8" s="80" customFormat="1" ht="16.5" customHeight="1" x14ac:dyDescent="0.25">
      <c r="A845" s="237" t="s">
        <v>1287</v>
      </c>
      <c r="B845" s="237"/>
      <c r="C845" s="236" t="s">
        <v>12</v>
      </c>
      <c r="D845" s="236" t="s">
        <v>82</v>
      </c>
      <c r="E845" s="198">
        <v>118828.14</v>
      </c>
      <c r="F845" s="198"/>
      <c r="G845" s="198">
        <f t="shared" si="30"/>
        <v>49482109.046000235</v>
      </c>
      <c r="H845" s="75"/>
    </row>
    <row r="846" spans="1:8" s="80" customFormat="1" ht="16.5" customHeight="1" x14ac:dyDescent="0.25">
      <c r="A846" s="237" t="s">
        <v>1287</v>
      </c>
      <c r="B846" s="237"/>
      <c r="C846" s="236" t="s">
        <v>12</v>
      </c>
      <c r="D846" s="236" t="s">
        <v>23</v>
      </c>
      <c r="E846" s="198">
        <v>1273015.1100000001</v>
      </c>
      <c r="F846" s="198"/>
      <c r="G846" s="198">
        <f t="shared" si="30"/>
        <v>50755124.156000234</v>
      </c>
      <c r="H846" s="75"/>
    </row>
    <row r="847" spans="1:8" s="80" customFormat="1" ht="16.5" customHeight="1" x14ac:dyDescent="0.25">
      <c r="A847" s="237" t="s">
        <v>1287</v>
      </c>
      <c r="B847" s="237"/>
      <c r="C847" s="236" t="s">
        <v>12</v>
      </c>
      <c r="D847" s="236" t="s">
        <v>23</v>
      </c>
      <c r="E847" s="198">
        <v>699988.64</v>
      </c>
      <c r="F847" s="198"/>
      <c r="G847" s="198">
        <f t="shared" si="30"/>
        <v>51455112.796000235</v>
      </c>
      <c r="H847" s="75"/>
    </row>
    <row r="848" spans="1:8" s="80" customFormat="1" ht="16.5" customHeight="1" x14ac:dyDescent="0.25">
      <c r="A848" s="237" t="s">
        <v>1287</v>
      </c>
      <c r="B848" s="237"/>
      <c r="C848" s="236" t="s">
        <v>12</v>
      </c>
      <c r="D848" s="236" t="s">
        <v>28</v>
      </c>
      <c r="E848" s="198">
        <v>264280.09000000003</v>
      </c>
      <c r="F848" s="198"/>
      <c r="G848" s="198">
        <f t="shared" si="30"/>
        <v>51719392.886000238</v>
      </c>
      <c r="H848" s="75"/>
    </row>
    <row r="849" spans="1:9" s="80" customFormat="1" ht="16.5" customHeight="1" x14ac:dyDescent="0.25">
      <c r="A849" s="237" t="s">
        <v>1287</v>
      </c>
      <c r="B849" s="237"/>
      <c r="C849" s="236" t="s">
        <v>12</v>
      </c>
      <c r="D849" s="236" t="s">
        <v>23</v>
      </c>
      <c r="E849" s="198">
        <v>174717.64</v>
      </c>
      <c r="F849" s="198"/>
      <c r="G849" s="198">
        <f t="shared" si="30"/>
        <v>51894110.526000239</v>
      </c>
      <c r="H849" s="75"/>
    </row>
    <row r="850" spans="1:9" s="80" customFormat="1" ht="16.5" customHeight="1" x14ac:dyDescent="0.25">
      <c r="A850" s="237" t="s">
        <v>1287</v>
      </c>
      <c r="B850" s="237"/>
      <c r="C850" s="236" t="s">
        <v>12</v>
      </c>
      <c r="D850" s="236" t="s">
        <v>660</v>
      </c>
      <c r="E850" s="198">
        <v>57149.93</v>
      </c>
      <c r="F850" s="198"/>
      <c r="G850" s="198">
        <f t="shared" si="30"/>
        <v>51951260.456000239</v>
      </c>
      <c r="H850" s="75"/>
    </row>
    <row r="851" spans="1:9" s="80" customFormat="1" ht="16.5" customHeight="1" x14ac:dyDescent="0.25">
      <c r="A851" s="237" t="s">
        <v>1287</v>
      </c>
      <c r="B851" s="237"/>
      <c r="C851" s="236" t="s">
        <v>12</v>
      </c>
      <c r="D851" s="236" t="s">
        <v>1290</v>
      </c>
      <c r="E851" s="198">
        <v>50000</v>
      </c>
      <c r="F851" s="198"/>
      <c r="G851" s="198">
        <f t="shared" si="30"/>
        <v>52001260.456000239</v>
      </c>
      <c r="H851" s="75"/>
    </row>
    <row r="852" spans="1:9" s="80" customFormat="1" ht="16.5" customHeight="1" x14ac:dyDescent="0.25">
      <c r="A852" s="237" t="s">
        <v>1287</v>
      </c>
      <c r="B852" s="237"/>
      <c r="C852" s="236" t="s">
        <v>12</v>
      </c>
      <c r="D852" s="236" t="s">
        <v>86</v>
      </c>
      <c r="E852" s="198">
        <v>28011.85</v>
      </c>
      <c r="F852" s="198"/>
      <c r="G852" s="198">
        <f t="shared" si="30"/>
        <v>52029272.30600024</v>
      </c>
      <c r="H852" s="75"/>
    </row>
    <row r="853" spans="1:9" s="80" customFormat="1" ht="16.5" customHeight="1" x14ac:dyDescent="0.25">
      <c r="A853" s="237" t="s">
        <v>1287</v>
      </c>
      <c r="B853" s="237"/>
      <c r="C853" s="236" t="s">
        <v>12</v>
      </c>
      <c r="D853" s="236" t="s">
        <v>86</v>
      </c>
      <c r="E853" s="198">
        <v>45329.57</v>
      </c>
      <c r="F853" s="198"/>
      <c r="G853" s="198">
        <f t="shared" si="30"/>
        <v>52074601.87600024</v>
      </c>
      <c r="H853" s="78"/>
    </row>
    <row r="854" spans="1:9" s="80" customFormat="1" ht="16.5" customHeight="1" x14ac:dyDescent="0.25">
      <c r="A854" s="237" t="s">
        <v>1291</v>
      </c>
      <c r="B854" s="237"/>
      <c r="C854" s="236" t="s">
        <v>13</v>
      </c>
      <c r="D854" s="236" t="s">
        <v>22</v>
      </c>
      <c r="E854" s="198">
        <v>32742</v>
      </c>
      <c r="F854" s="198"/>
      <c r="G854" s="198">
        <f t="shared" si="30"/>
        <v>52107343.87600024</v>
      </c>
      <c r="H854" s="75"/>
    </row>
    <row r="855" spans="1:9" s="80" customFormat="1" ht="16.5" customHeight="1" x14ac:dyDescent="0.25">
      <c r="A855" s="237" t="s">
        <v>1291</v>
      </c>
      <c r="B855" s="237"/>
      <c r="C855" s="236" t="s">
        <v>13</v>
      </c>
      <c r="D855" s="236" t="s">
        <v>48</v>
      </c>
      <c r="E855" s="198">
        <v>300</v>
      </c>
      <c r="F855" s="198">
        <f>E855*0.025</f>
        <v>7.5</v>
      </c>
      <c r="G855" s="198">
        <f t="shared" si="30"/>
        <v>52107636.37600024</v>
      </c>
      <c r="H855" s="233"/>
    </row>
    <row r="856" spans="1:9" s="80" customFormat="1" ht="16.5" customHeight="1" x14ac:dyDescent="0.25">
      <c r="A856" s="237" t="s">
        <v>1291</v>
      </c>
      <c r="B856" s="237"/>
      <c r="C856" s="236" t="s">
        <v>13</v>
      </c>
      <c r="D856" s="236" t="s">
        <v>48</v>
      </c>
      <c r="E856" s="198">
        <v>9245.2199999999993</v>
      </c>
      <c r="F856" s="198">
        <f t="shared" ref="F856:F871" si="32">E856*0.025</f>
        <v>231.13049999999998</v>
      </c>
      <c r="G856" s="198">
        <f t="shared" si="30"/>
        <v>52116650.465500236</v>
      </c>
      <c r="H856" s="233"/>
    </row>
    <row r="857" spans="1:9" s="80" customFormat="1" ht="16.5" customHeight="1" x14ac:dyDescent="0.25">
      <c r="A857" s="237" t="s">
        <v>1291</v>
      </c>
      <c r="B857" s="237"/>
      <c r="C857" s="236" t="s">
        <v>13</v>
      </c>
      <c r="D857" s="236" t="s">
        <v>48</v>
      </c>
      <c r="E857" s="198">
        <v>616.71</v>
      </c>
      <c r="F857" s="198">
        <f t="shared" si="32"/>
        <v>15.417750000000002</v>
      </c>
      <c r="G857" s="198">
        <f t="shared" si="30"/>
        <v>52117251.757750235</v>
      </c>
      <c r="H857" s="233"/>
    </row>
    <row r="858" spans="1:9" s="80" customFormat="1" ht="16.5" customHeight="1" x14ac:dyDescent="0.25">
      <c r="A858" s="237" t="s">
        <v>1291</v>
      </c>
      <c r="B858" s="237"/>
      <c r="C858" s="236" t="s">
        <v>13</v>
      </c>
      <c r="D858" s="236" t="s">
        <v>48</v>
      </c>
      <c r="E858" s="198">
        <v>300</v>
      </c>
      <c r="F858" s="198">
        <f t="shared" si="32"/>
        <v>7.5</v>
      </c>
      <c r="G858" s="198">
        <f t="shared" si="30"/>
        <v>52117544.257750235</v>
      </c>
      <c r="H858" s="233"/>
      <c r="I858" s="215"/>
    </row>
    <row r="859" spans="1:9" s="80" customFormat="1" ht="16.5" customHeight="1" x14ac:dyDescent="0.25">
      <c r="A859" s="237" t="s">
        <v>1291</v>
      </c>
      <c r="B859" s="237"/>
      <c r="C859" s="236" t="s">
        <v>13</v>
      </c>
      <c r="D859" s="236" t="s">
        <v>48</v>
      </c>
      <c r="E859" s="198">
        <v>437.38</v>
      </c>
      <c r="F859" s="198">
        <f t="shared" si="32"/>
        <v>10.9345</v>
      </c>
      <c r="G859" s="198">
        <f t="shared" si="30"/>
        <v>52117970.703250237</v>
      </c>
      <c r="H859" s="233"/>
    </row>
    <row r="860" spans="1:9" s="80" customFormat="1" ht="31.5" x14ac:dyDescent="0.25">
      <c r="A860" s="237" t="s">
        <v>1291</v>
      </c>
      <c r="B860" s="237" t="s">
        <v>1310</v>
      </c>
      <c r="C860" s="236" t="s">
        <v>1239</v>
      </c>
      <c r="D860" s="236" t="s">
        <v>1311</v>
      </c>
      <c r="E860" s="198"/>
      <c r="F860" s="198">
        <v>132777.29999999999</v>
      </c>
      <c r="G860" s="198">
        <f t="shared" si="30"/>
        <v>51985193.40325024</v>
      </c>
      <c r="H860" s="78"/>
    </row>
    <row r="861" spans="1:9" s="80" customFormat="1" ht="16.5" customHeight="1" x14ac:dyDescent="0.25">
      <c r="A861" s="237" t="s">
        <v>1256</v>
      </c>
      <c r="B861" s="237"/>
      <c r="C861" s="236" t="s">
        <v>13</v>
      </c>
      <c r="D861" s="236" t="s">
        <v>22</v>
      </c>
      <c r="E861" s="198">
        <v>54426</v>
      </c>
      <c r="F861" s="198"/>
      <c r="G861" s="198">
        <f t="shared" si="30"/>
        <v>52039619.40325024</v>
      </c>
      <c r="H861" s="75"/>
    </row>
    <row r="862" spans="1:9" s="80" customFormat="1" ht="16.5" customHeight="1" x14ac:dyDescent="0.25">
      <c r="A862" s="237" t="s">
        <v>1256</v>
      </c>
      <c r="B862" s="235"/>
      <c r="C862" s="236" t="s">
        <v>13</v>
      </c>
      <c r="D862" s="236" t="s">
        <v>48</v>
      </c>
      <c r="E862" s="198">
        <v>3555.92</v>
      </c>
      <c r="F862" s="198">
        <f t="shared" si="32"/>
        <v>88.89800000000001</v>
      </c>
      <c r="G862" s="198">
        <f t="shared" si="30"/>
        <v>52043086.42525024</v>
      </c>
      <c r="H862" s="21"/>
      <c r="I862" s="215"/>
    </row>
    <row r="863" spans="1:9" s="80" customFormat="1" ht="16.5" customHeight="1" x14ac:dyDescent="0.25">
      <c r="A863" s="237" t="s">
        <v>1256</v>
      </c>
      <c r="B863" s="235"/>
      <c r="C863" s="236" t="s">
        <v>13</v>
      </c>
      <c r="D863" s="236" t="s">
        <v>48</v>
      </c>
      <c r="E863" s="198">
        <v>11240.4</v>
      </c>
      <c r="F863" s="198">
        <f t="shared" si="32"/>
        <v>281.01</v>
      </c>
      <c r="G863" s="198">
        <f t="shared" si="30"/>
        <v>52054045.81525024</v>
      </c>
      <c r="H863" s="21"/>
    </row>
    <row r="864" spans="1:9" s="80" customFormat="1" ht="16.5" customHeight="1" x14ac:dyDescent="0.25">
      <c r="A864" s="237" t="s">
        <v>1256</v>
      </c>
      <c r="B864" s="235"/>
      <c r="C864" s="236" t="s">
        <v>13</v>
      </c>
      <c r="D864" s="236" t="s">
        <v>18</v>
      </c>
      <c r="E864" s="198">
        <v>904.08</v>
      </c>
      <c r="F864" s="198">
        <f t="shared" si="32"/>
        <v>22.602000000000004</v>
      </c>
      <c r="G864" s="198">
        <f t="shared" si="30"/>
        <v>52054927.29325024</v>
      </c>
      <c r="H864" s="75"/>
    </row>
    <row r="865" spans="1:8" s="80" customFormat="1" ht="16.5" customHeight="1" x14ac:dyDescent="0.25">
      <c r="A865" s="237" t="s">
        <v>1256</v>
      </c>
      <c r="B865" s="235"/>
      <c r="C865" s="236" t="s">
        <v>13</v>
      </c>
      <c r="D865" s="236" t="s">
        <v>48</v>
      </c>
      <c r="E865" s="198">
        <v>335.48</v>
      </c>
      <c r="F865" s="198">
        <f t="shared" si="32"/>
        <v>8.3870000000000005</v>
      </c>
      <c r="G865" s="198">
        <f t="shared" si="30"/>
        <v>52055254.386250235</v>
      </c>
      <c r="H865" s="21"/>
    </row>
    <row r="866" spans="1:8" s="80" customFormat="1" ht="16.5" customHeight="1" x14ac:dyDescent="0.25">
      <c r="A866" s="237" t="s">
        <v>1256</v>
      </c>
      <c r="B866" s="235"/>
      <c r="C866" s="236" t="s">
        <v>13</v>
      </c>
      <c r="D866" s="236" t="s">
        <v>48</v>
      </c>
      <c r="E866" s="198">
        <v>364.68</v>
      </c>
      <c r="F866" s="198">
        <f t="shared" si="32"/>
        <v>9.1170000000000009</v>
      </c>
      <c r="G866" s="198">
        <f t="shared" si="30"/>
        <v>52055609.949250236</v>
      </c>
      <c r="H866" s="21"/>
    </row>
    <row r="867" spans="1:8" s="80" customFormat="1" ht="16.5" customHeight="1" x14ac:dyDescent="0.25">
      <c r="A867" s="237" t="s">
        <v>1256</v>
      </c>
      <c r="B867" s="235" t="s">
        <v>1312</v>
      </c>
      <c r="C867" s="236" t="s">
        <v>1313</v>
      </c>
      <c r="D867" s="236" t="s">
        <v>1314</v>
      </c>
      <c r="E867" s="198"/>
      <c r="F867" s="198">
        <v>322050</v>
      </c>
      <c r="G867" s="198">
        <f t="shared" si="30"/>
        <v>51733559.949250236</v>
      </c>
      <c r="H867" s="78"/>
    </row>
    <row r="868" spans="1:8" s="80" customFormat="1" ht="16.5" customHeight="1" x14ac:dyDescent="0.25">
      <c r="A868" s="237" t="s">
        <v>1292</v>
      </c>
      <c r="B868" s="235"/>
      <c r="C868" s="236" t="s">
        <v>13</v>
      </c>
      <c r="D868" s="236" t="s">
        <v>22</v>
      </c>
      <c r="E868" s="198">
        <v>29965</v>
      </c>
      <c r="F868" s="198"/>
      <c r="G868" s="198">
        <f t="shared" si="30"/>
        <v>51763524.949250236</v>
      </c>
      <c r="H868" s="75"/>
    </row>
    <row r="869" spans="1:8" s="80" customFormat="1" ht="16.5" customHeight="1" x14ac:dyDescent="0.25">
      <c r="A869" s="237" t="s">
        <v>1292</v>
      </c>
      <c r="B869" s="235"/>
      <c r="C869" s="236" t="s">
        <v>13</v>
      </c>
      <c r="D869" s="236" t="s">
        <v>48</v>
      </c>
      <c r="E869" s="198">
        <v>3000</v>
      </c>
      <c r="F869" s="198">
        <f t="shared" si="32"/>
        <v>75</v>
      </c>
      <c r="G869" s="198">
        <f t="shared" si="30"/>
        <v>51766449.949250236</v>
      </c>
      <c r="H869" s="233"/>
    </row>
    <row r="870" spans="1:8" s="80" customFormat="1" ht="16.5" customHeight="1" x14ac:dyDescent="0.25">
      <c r="A870" s="237" t="s">
        <v>1292</v>
      </c>
      <c r="B870" s="235"/>
      <c r="C870" s="236" t="s">
        <v>13</v>
      </c>
      <c r="D870" s="236" t="s">
        <v>48</v>
      </c>
      <c r="E870" s="198">
        <v>429.3</v>
      </c>
      <c r="F870" s="198">
        <f t="shared" si="32"/>
        <v>10.732500000000002</v>
      </c>
      <c r="G870" s="198">
        <f t="shared" si="30"/>
        <v>51766868.516750231</v>
      </c>
      <c r="H870" s="233"/>
    </row>
    <row r="871" spans="1:8" s="80" customFormat="1" ht="16.5" customHeight="1" x14ac:dyDescent="0.25">
      <c r="A871" s="237" t="s">
        <v>1292</v>
      </c>
      <c r="B871" s="235"/>
      <c r="C871" s="236" t="s">
        <v>13</v>
      </c>
      <c r="D871" s="236" t="s">
        <v>48</v>
      </c>
      <c r="E871" s="198">
        <v>4125</v>
      </c>
      <c r="F871" s="198">
        <f t="shared" si="32"/>
        <v>103.125</v>
      </c>
      <c r="G871" s="198">
        <f t="shared" si="30"/>
        <v>51770890.391750231</v>
      </c>
      <c r="H871" s="233"/>
    </row>
    <row r="872" spans="1:8" s="80" customFormat="1" ht="31.5" x14ac:dyDescent="0.25">
      <c r="A872" s="237" t="s">
        <v>1292</v>
      </c>
      <c r="B872" s="235"/>
      <c r="C872" s="236" t="s">
        <v>44</v>
      </c>
      <c r="D872" s="236" t="s">
        <v>1317</v>
      </c>
      <c r="E872" s="198"/>
      <c r="F872" s="198">
        <v>-570000</v>
      </c>
      <c r="G872" s="198">
        <f t="shared" si="30"/>
        <v>52340890.391750231</v>
      </c>
      <c r="H872" s="78"/>
    </row>
    <row r="873" spans="1:8" s="80" customFormat="1" ht="16.5" customHeight="1" x14ac:dyDescent="0.25">
      <c r="A873" s="237" t="s">
        <v>1315</v>
      </c>
      <c r="B873" s="235"/>
      <c r="C873" s="236" t="s">
        <v>13</v>
      </c>
      <c r="D873" s="236" t="s">
        <v>22</v>
      </c>
      <c r="E873" s="198">
        <v>41229</v>
      </c>
      <c r="F873" s="198"/>
      <c r="G873" s="198">
        <f t="shared" si="30"/>
        <v>52382119.391750231</v>
      </c>
      <c r="H873" s="75"/>
    </row>
    <row r="874" spans="1:8" s="80" customFormat="1" ht="16.5" customHeight="1" x14ac:dyDescent="0.25">
      <c r="A874" s="237" t="s">
        <v>1315</v>
      </c>
      <c r="B874" s="235"/>
      <c r="C874" s="236" t="s">
        <v>13</v>
      </c>
      <c r="D874" s="236" t="s">
        <v>48</v>
      </c>
      <c r="E874" s="198">
        <v>554</v>
      </c>
      <c r="F874" s="198">
        <f>E874*0.025</f>
        <v>13.850000000000001</v>
      </c>
      <c r="G874" s="198">
        <f t="shared" si="30"/>
        <v>52382659.54175023</v>
      </c>
      <c r="H874" s="233"/>
    </row>
    <row r="875" spans="1:8" s="80" customFormat="1" ht="16.5" customHeight="1" x14ac:dyDescent="0.25">
      <c r="A875" s="237" t="s">
        <v>1315</v>
      </c>
      <c r="B875" s="235"/>
      <c r="C875" s="236" t="s">
        <v>13</v>
      </c>
      <c r="D875" s="236" t="s">
        <v>48</v>
      </c>
      <c r="E875" s="198">
        <v>452.8</v>
      </c>
      <c r="F875" s="198">
        <f>E875*0.025</f>
        <v>11.32</v>
      </c>
      <c r="G875" s="198">
        <f t="shared" si="30"/>
        <v>52383101.021750227</v>
      </c>
      <c r="H875" s="233"/>
    </row>
    <row r="876" spans="1:8" s="80" customFormat="1" ht="31.5" x14ac:dyDescent="0.25">
      <c r="A876" s="237" t="s">
        <v>1315</v>
      </c>
      <c r="B876" s="235" t="s">
        <v>1316</v>
      </c>
      <c r="C876" s="236" t="s">
        <v>1250</v>
      </c>
      <c r="D876" s="236" t="s">
        <v>1251</v>
      </c>
      <c r="E876" s="198"/>
      <c r="F876" s="198">
        <v>594594</v>
      </c>
      <c r="G876" s="198">
        <f t="shared" si="30"/>
        <v>51788507.021750227</v>
      </c>
      <c r="H876" s="75"/>
    </row>
    <row r="877" spans="1:8" s="80" customFormat="1" ht="31.5" x14ac:dyDescent="0.25">
      <c r="A877" s="237" t="s">
        <v>1315</v>
      </c>
      <c r="B877" s="235" t="s">
        <v>1318</v>
      </c>
      <c r="C877" s="236" t="s">
        <v>1319</v>
      </c>
      <c r="D877" s="236" t="s">
        <v>1320</v>
      </c>
      <c r="E877" s="198"/>
      <c r="F877" s="198">
        <v>171000</v>
      </c>
      <c r="G877" s="198">
        <f t="shared" si="30"/>
        <v>51617507.021750227</v>
      </c>
      <c r="H877" s="75"/>
    </row>
    <row r="878" spans="1:8" s="80" customFormat="1" ht="47.25" x14ac:dyDescent="0.25">
      <c r="A878" s="237" t="s">
        <v>1315</v>
      </c>
      <c r="B878" s="235" t="s">
        <v>1321</v>
      </c>
      <c r="C878" s="236" t="s">
        <v>1070</v>
      </c>
      <c r="D878" s="236" t="s">
        <v>1322</v>
      </c>
      <c r="E878" s="198"/>
      <c r="F878" s="198">
        <v>218315.22</v>
      </c>
      <c r="G878" s="198">
        <f t="shared" si="30"/>
        <v>51399191.801750228</v>
      </c>
      <c r="H878" s="75"/>
    </row>
    <row r="879" spans="1:8" s="80" customFormat="1" ht="47.25" x14ac:dyDescent="0.25">
      <c r="A879" s="237" t="s">
        <v>1315</v>
      </c>
      <c r="B879" s="235" t="s">
        <v>1323</v>
      </c>
      <c r="C879" s="236" t="s">
        <v>1324</v>
      </c>
      <c r="D879" s="236" t="s">
        <v>1325</v>
      </c>
      <c r="E879" s="198"/>
      <c r="F879" s="198">
        <v>1497774.63</v>
      </c>
      <c r="G879" s="198">
        <f t="shared" si="30"/>
        <v>49901417.171750225</v>
      </c>
      <c r="H879" s="75"/>
    </row>
    <row r="880" spans="1:8" s="80" customFormat="1" ht="31.5" x14ac:dyDescent="0.25">
      <c r="A880" s="237" t="s">
        <v>1315</v>
      </c>
      <c r="B880" s="235" t="s">
        <v>1326</v>
      </c>
      <c r="C880" s="236" t="s">
        <v>922</v>
      </c>
      <c r="D880" s="236" t="s">
        <v>1327</v>
      </c>
      <c r="E880" s="198"/>
      <c r="F880" s="198">
        <v>1261023.5</v>
      </c>
      <c r="G880" s="198">
        <f t="shared" si="30"/>
        <v>48640393.671750225</v>
      </c>
      <c r="H880" s="78"/>
    </row>
    <row r="881" spans="1:9" s="80" customFormat="1" ht="15.75" x14ac:dyDescent="0.25">
      <c r="A881" s="237" t="s">
        <v>1336</v>
      </c>
      <c r="B881" s="235"/>
      <c r="C881" s="236" t="s">
        <v>13</v>
      </c>
      <c r="D881" s="236" t="s">
        <v>22</v>
      </c>
      <c r="E881" s="198">
        <v>27977</v>
      </c>
      <c r="F881" s="198"/>
      <c r="G881" s="198">
        <f t="shared" si="30"/>
        <v>48668370.671750225</v>
      </c>
      <c r="H881" s="75"/>
    </row>
    <row r="882" spans="1:9" s="80" customFormat="1" ht="15.75" x14ac:dyDescent="0.25">
      <c r="A882" s="237" t="s">
        <v>1336</v>
      </c>
      <c r="B882" s="235"/>
      <c r="C882" s="236" t="s">
        <v>13</v>
      </c>
      <c r="D882" s="236" t="s">
        <v>48</v>
      </c>
      <c r="E882" s="198">
        <v>1804.8</v>
      </c>
      <c r="F882" s="198">
        <f>E882*0.025</f>
        <v>45.120000000000005</v>
      </c>
      <c r="G882" s="198">
        <f t="shared" si="30"/>
        <v>48670130.351750225</v>
      </c>
      <c r="H882" s="233"/>
      <c r="I882" s="215"/>
    </row>
    <row r="883" spans="1:9" s="80" customFormat="1" ht="15.75" x14ac:dyDescent="0.25">
      <c r="A883" s="237" t="s">
        <v>1336</v>
      </c>
      <c r="B883" s="235"/>
      <c r="C883" s="236" t="s">
        <v>12</v>
      </c>
      <c r="D883" s="236" t="s">
        <v>31</v>
      </c>
      <c r="E883" s="198">
        <v>641091.11</v>
      </c>
      <c r="F883" s="198"/>
      <c r="G883" s="198">
        <f t="shared" si="30"/>
        <v>49311221.461750224</v>
      </c>
      <c r="H883" s="75"/>
    </row>
    <row r="884" spans="1:9" s="80" customFormat="1" ht="15.75" x14ac:dyDescent="0.25">
      <c r="A884" s="237" t="s">
        <v>1336</v>
      </c>
      <c r="B884" s="235"/>
      <c r="C884" s="236" t="s">
        <v>12</v>
      </c>
      <c r="D884" s="236" t="s">
        <v>24</v>
      </c>
      <c r="E884" s="198">
        <v>187687.57</v>
      </c>
      <c r="F884" s="198"/>
      <c r="G884" s="198">
        <f t="shared" si="30"/>
        <v>49498909.031750225</v>
      </c>
      <c r="H884" s="75"/>
    </row>
    <row r="885" spans="1:9" s="80" customFormat="1" ht="15.75" x14ac:dyDescent="0.25">
      <c r="A885" s="237" t="s">
        <v>1336</v>
      </c>
      <c r="B885" s="235"/>
      <c r="C885" s="236" t="s">
        <v>12</v>
      </c>
      <c r="D885" s="236" t="s">
        <v>31</v>
      </c>
      <c r="E885" s="198">
        <v>140803.5</v>
      </c>
      <c r="F885" s="198"/>
      <c r="G885" s="198">
        <f t="shared" si="30"/>
        <v>49639712.531750225</v>
      </c>
      <c r="H885" s="75"/>
    </row>
    <row r="886" spans="1:9" s="80" customFormat="1" ht="15.75" x14ac:dyDescent="0.25">
      <c r="A886" s="237" t="s">
        <v>1336</v>
      </c>
      <c r="B886" s="235"/>
      <c r="C886" s="236" t="s">
        <v>12</v>
      </c>
      <c r="D886" s="236" t="s">
        <v>31</v>
      </c>
      <c r="E886" s="198">
        <v>69753.36</v>
      </c>
      <c r="F886" s="198"/>
      <c r="G886" s="198">
        <f t="shared" si="30"/>
        <v>49709465.891750224</v>
      </c>
      <c r="H886" s="75"/>
    </row>
    <row r="887" spans="1:9" s="80" customFormat="1" ht="15.75" x14ac:dyDescent="0.25">
      <c r="A887" s="237" t="s">
        <v>1336</v>
      </c>
      <c r="B887" s="235"/>
      <c r="C887" s="236" t="s">
        <v>12</v>
      </c>
      <c r="D887" s="236" t="s">
        <v>31</v>
      </c>
      <c r="E887" s="198">
        <v>500</v>
      </c>
      <c r="F887" s="198"/>
      <c r="G887" s="198">
        <f t="shared" si="30"/>
        <v>49709965.891750224</v>
      </c>
      <c r="H887" s="75"/>
    </row>
    <row r="888" spans="1:9" s="80" customFormat="1" ht="47.25" x14ac:dyDescent="0.25">
      <c r="A888" s="237" t="s">
        <v>1336</v>
      </c>
      <c r="B888" s="237" t="s">
        <v>1333</v>
      </c>
      <c r="C888" s="236" t="s">
        <v>1203</v>
      </c>
      <c r="D888" s="236" t="s">
        <v>1337</v>
      </c>
      <c r="E888" s="198"/>
      <c r="F888" s="198">
        <v>220376.74</v>
      </c>
      <c r="G888" s="198">
        <f t="shared" si="30"/>
        <v>49489589.151750222</v>
      </c>
      <c r="H888" s="75"/>
    </row>
    <row r="889" spans="1:9" s="80" customFormat="1" ht="16.5" customHeight="1" x14ac:dyDescent="0.25">
      <c r="A889" s="237" t="s">
        <v>1336</v>
      </c>
      <c r="B889" s="237" t="s">
        <v>1334</v>
      </c>
      <c r="C889" s="236" t="s">
        <v>1096</v>
      </c>
      <c r="D889" s="236" t="s">
        <v>1338</v>
      </c>
      <c r="E889" s="198"/>
      <c r="F889" s="198">
        <v>1221462.5</v>
      </c>
      <c r="G889" s="198">
        <f t="shared" si="30"/>
        <v>48268126.651750222</v>
      </c>
      <c r="H889" s="75"/>
    </row>
    <row r="890" spans="1:9" s="80" customFormat="1" ht="31.5" x14ac:dyDescent="0.25">
      <c r="A890" s="237" t="s">
        <v>1336</v>
      </c>
      <c r="B890" s="237" t="s">
        <v>1335</v>
      </c>
      <c r="C890" s="236" t="s">
        <v>988</v>
      </c>
      <c r="D890" s="236" t="s">
        <v>1339</v>
      </c>
      <c r="E890" s="198"/>
      <c r="F890" s="198">
        <v>1198425</v>
      </c>
      <c r="G890" s="198">
        <f t="shared" si="30"/>
        <v>47069701.651750222</v>
      </c>
      <c r="H890" s="75"/>
    </row>
    <row r="891" spans="1:9" s="80" customFormat="1" ht="31.5" x14ac:dyDescent="0.25">
      <c r="A891" s="237" t="s">
        <v>1336</v>
      </c>
      <c r="B891" s="237" t="s">
        <v>1340</v>
      </c>
      <c r="C891" s="236" t="s">
        <v>1341</v>
      </c>
      <c r="D891" s="236" t="s">
        <v>1342</v>
      </c>
      <c r="E891" s="198"/>
      <c r="F891" s="198">
        <v>321654.7</v>
      </c>
      <c r="G891" s="198">
        <f t="shared" si="30"/>
        <v>46748046.951750219</v>
      </c>
      <c r="H891" s="78"/>
      <c r="I891" s="215"/>
    </row>
    <row r="892" spans="1:9" s="80" customFormat="1" ht="15.75" x14ac:dyDescent="0.25">
      <c r="A892" s="237" t="s">
        <v>1330</v>
      </c>
      <c r="B892" s="237"/>
      <c r="C892" s="236" t="s">
        <v>13</v>
      </c>
      <c r="D892" s="236" t="s">
        <v>22</v>
      </c>
      <c r="E892" s="198">
        <v>79789</v>
      </c>
      <c r="F892" s="198"/>
      <c r="G892" s="198">
        <f t="shared" si="30"/>
        <v>46827835.951750219</v>
      </c>
      <c r="H892" s="78"/>
      <c r="I892" s="215"/>
    </row>
    <row r="893" spans="1:9" s="80" customFormat="1" ht="15.75" x14ac:dyDescent="0.25">
      <c r="A893" s="237" t="s">
        <v>1330</v>
      </c>
      <c r="B893" s="237"/>
      <c r="C893" s="236" t="s">
        <v>13</v>
      </c>
      <c r="D893" s="236" t="s">
        <v>48</v>
      </c>
      <c r="E893" s="198">
        <v>847</v>
      </c>
      <c r="F893" s="198">
        <f>E893*0.025</f>
        <v>21.175000000000001</v>
      </c>
      <c r="G893" s="198">
        <f t="shared" si="30"/>
        <v>46828661.776750222</v>
      </c>
      <c r="H893" s="233"/>
      <c r="I893" s="215"/>
    </row>
    <row r="894" spans="1:9" s="80" customFormat="1" ht="15.75" x14ac:dyDescent="0.25">
      <c r="A894" s="237" t="s">
        <v>1330</v>
      </c>
      <c r="B894" s="237"/>
      <c r="C894" s="236" t="s">
        <v>13</v>
      </c>
      <c r="D894" s="236" t="s">
        <v>48</v>
      </c>
      <c r="E894" s="198">
        <v>3500</v>
      </c>
      <c r="F894" s="198">
        <f t="shared" ref="F894:F897" si="33">E894*0.025</f>
        <v>87.5</v>
      </c>
      <c r="G894" s="198">
        <f t="shared" si="30"/>
        <v>46832074.276750222</v>
      </c>
      <c r="H894" s="233"/>
      <c r="I894" s="215"/>
    </row>
    <row r="895" spans="1:9" s="80" customFormat="1" ht="15.75" x14ac:dyDescent="0.25">
      <c r="A895" s="237" t="s">
        <v>1330</v>
      </c>
      <c r="B895" s="237"/>
      <c r="C895" s="236" t="s">
        <v>13</v>
      </c>
      <c r="D895" s="236" t="s">
        <v>48</v>
      </c>
      <c r="E895" s="198">
        <v>581.70000000000005</v>
      </c>
      <c r="F895" s="198">
        <f t="shared" si="33"/>
        <v>14.542500000000002</v>
      </c>
      <c r="G895" s="198">
        <f t="shared" si="30"/>
        <v>46832641.434250228</v>
      </c>
      <c r="H895" s="233"/>
      <c r="I895" s="215"/>
    </row>
    <row r="896" spans="1:9" s="80" customFormat="1" ht="15.75" x14ac:dyDescent="0.25">
      <c r="A896" s="237" t="s">
        <v>1330</v>
      </c>
      <c r="B896" s="237"/>
      <c r="C896" s="236" t="s">
        <v>13</v>
      </c>
      <c r="D896" s="236" t="s">
        <v>48</v>
      </c>
      <c r="E896" s="198">
        <v>884.98</v>
      </c>
      <c r="F896" s="198">
        <f t="shared" si="33"/>
        <v>22.124500000000001</v>
      </c>
      <c r="G896" s="198">
        <f t="shared" si="30"/>
        <v>46833504.289750226</v>
      </c>
      <c r="H896" s="233"/>
      <c r="I896" s="215"/>
    </row>
    <row r="897" spans="1:9" s="80" customFormat="1" ht="15.75" x14ac:dyDescent="0.25">
      <c r="A897" s="237" t="s">
        <v>1330</v>
      </c>
      <c r="B897" s="237"/>
      <c r="C897" s="236" t="s">
        <v>13</v>
      </c>
      <c r="D897" s="236" t="s">
        <v>48</v>
      </c>
      <c r="E897" s="198">
        <v>2740.16</v>
      </c>
      <c r="F897" s="198">
        <f t="shared" si="33"/>
        <v>68.504000000000005</v>
      </c>
      <c r="G897" s="198">
        <f t="shared" si="30"/>
        <v>46836175.945750222</v>
      </c>
      <c r="H897" s="233"/>
      <c r="I897" s="215"/>
    </row>
    <row r="898" spans="1:9" s="80" customFormat="1" ht="31.5" x14ac:dyDescent="0.25">
      <c r="A898" s="237" t="s">
        <v>1330</v>
      </c>
      <c r="B898" s="237" t="s">
        <v>1343</v>
      </c>
      <c r="C898" s="236" t="s">
        <v>1344</v>
      </c>
      <c r="D898" s="236" t="s">
        <v>1345</v>
      </c>
      <c r="E898" s="198"/>
      <c r="F898" s="198">
        <v>763738</v>
      </c>
      <c r="G898" s="198">
        <f t="shared" si="30"/>
        <v>46072437.945750222</v>
      </c>
      <c r="H898" s="75"/>
    </row>
    <row r="899" spans="1:9" s="80" customFormat="1" ht="31.5" x14ac:dyDescent="0.25">
      <c r="A899" s="237" t="s">
        <v>1330</v>
      </c>
      <c r="B899" s="237" t="s">
        <v>1346</v>
      </c>
      <c r="C899" s="236" t="s">
        <v>1348</v>
      </c>
      <c r="D899" s="236" t="s">
        <v>1347</v>
      </c>
      <c r="E899" s="198"/>
      <c r="F899" s="198">
        <v>732914</v>
      </c>
      <c r="G899" s="198">
        <f t="shared" si="30"/>
        <v>45339523.945750222</v>
      </c>
      <c r="H899" s="75"/>
    </row>
    <row r="900" spans="1:9" s="80" customFormat="1" ht="31.5" x14ac:dyDescent="0.25">
      <c r="A900" s="237" t="s">
        <v>1330</v>
      </c>
      <c r="B900" s="237" t="s">
        <v>1349</v>
      </c>
      <c r="C900" s="236" t="s">
        <v>1350</v>
      </c>
      <c r="D900" s="236" t="s">
        <v>1351</v>
      </c>
      <c r="E900" s="198"/>
      <c r="F900" s="198">
        <v>1058870</v>
      </c>
      <c r="G900" s="198">
        <f t="shared" si="30"/>
        <v>44280653.945750222</v>
      </c>
      <c r="H900" s="75"/>
    </row>
    <row r="901" spans="1:9" ht="39" customHeight="1" x14ac:dyDescent="0.25">
      <c r="A901" s="237" t="s">
        <v>1330</v>
      </c>
      <c r="B901" s="237" t="s">
        <v>1352</v>
      </c>
      <c r="C901" s="239" t="s">
        <v>1353</v>
      </c>
      <c r="D901" s="240" t="s">
        <v>1354</v>
      </c>
      <c r="E901" s="239"/>
      <c r="F901" s="198">
        <v>766480</v>
      </c>
      <c r="G901" s="198">
        <f t="shared" si="30"/>
        <v>43514173.945750222</v>
      </c>
      <c r="H901" s="75"/>
    </row>
    <row r="902" spans="1:9" s="80" customFormat="1" ht="16.5" customHeight="1" x14ac:dyDescent="0.25">
      <c r="A902" s="237" t="s">
        <v>1330</v>
      </c>
      <c r="B902" s="237" t="s">
        <v>1355</v>
      </c>
      <c r="C902" s="239" t="s">
        <v>1356</v>
      </c>
      <c r="D902" s="239" t="s">
        <v>1357</v>
      </c>
      <c r="E902" s="239"/>
      <c r="F902" s="198">
        <v>1111500</v>
      </c>
      <c r="G902" s="198">
        <f t="shared" si="30"/>
        <v>42402673.945750222</v>
      </c>
      <c r="H902" s="75"/>
    </row>
    <row r="903" spans="1:9" s="80" customFormat="1" ht="15.75" x14ac:dyDescent="0.25">
      <c r="A903" s="237" t="s">
        <v>1403</v>
      </c>
      <c r="B903" s="237"/>
      <c r="C903" s="236" t="s">
        <v>13</v>
      </c>
      <c r="D903" s="236" t="s">
        <v>22</v>
      </c>
      <c r="E903" s="198">
        <v>25900</v>
      </c>
      <c r="F903" s="198"/>
      <c r="G903" s="198">
        <f t="shared" ref="G903:G928" si="34">G902+E903-F903</f>
        <v>42428573.945750222</v>
      </c>
      <c r="H903" s="75"/>
    </row>
    <row r="904" spans="1:9" s="80" customFormat="1" ht="15.75" x14ac:dyDescent="0.25">
      <c r="A904" s="237" t="s">
        <v>1403</v>
      </c>
      <c r="B904" s="237"/>
      <c r="C904" s="236" t="s">
        <v>13</v>
      </c>
      <c r="D904" s="236" t="s">
        <v>48</v>
      </c>
      <c r="E904" s="198">
        <v>97</v>
      </c>
      <c r="F904" s="198">
        <f>E904*0.025</f>
        <v>2.4250000000000003</v>
      </c>
      <c r="G904" s="198">
        <f t="shared" si="34"/>
        <v>42428668.520750225</v>
      </c>
      <c r="H904" s="233"/>
    </row>
    <row r="905" spans="1:9" s="80" customFormat="1" ht="15.75" x14ac:dyDescent="0.25">
      <c r="A905" s="237" t="s">
        <v>1403</v>
      </c>
      <c r="B905" s="237"/>
      <c r="C905" s="236" t="s">
        <v>13</v>
      </c>
      <c r="D905" s="236" t="s">
        <v>48</v>
      </c>
      <c r="E905" s="198">
        <v>259</v>
      </c>
      <c r="F905" s="198">
        <f>E905*0.025</f>
        <v>6.4750000000000005</v>
      </c>
      <c r="G905" s="198">
        <f t="shared" si="34"/>
        <v>42428921.045750223</v>
      </c>
      <c r="H905" s="233"/>
    </row>
    <row r="906" spans="1:9" s="80" customFormat="1" ht="31.5" x14ac:dyDescent="0.25">
      <c r="A906" s="237" t="s">
        <v>1403</v>
      </c>
      <c r="B906" s="237" t="s">
        <v>1360</v>
      </c>
      <c r="C906" s="239" t="s">
        <v>1358</v>
      </c>
      <c r="D906" s="236" t="s">
        <v>1359</v>
      </c>
      <c r="E906" s="239"/>
      <c r="F906" s="198">
        <v>356965.19</v>
      </c>
      <c r="G906" s="198">
        <f t="shared" si="34"/>
        <v>42071955.855750225</v>
      </c>
      <c r="H906" s="75"/>
    </row>
    <row r="907" spans="1:9" s="80" customFormat="1" ht="31.5" x14ac:dyDescent="0.25">
      <c r="A907" s="237" t="s">
        <v>1403</v>
      </c>
      <c r="B907" s="237" t="s">
        <v>1361</v>
      </c>
      <c r="C907" s="239" t="s">
        <v>1362</v>
      </c>
      <c r="D907" s="240" t="s">
        <v>1363</v>
      </c>
      <c r="E907" s="239"/>
      <c r="F907" s="198">
        <v>921819.68</v>
      </c>
      <c r="G907" s="198">
        <f t="shared" si="34"/>
        <v>41150136.175750226</v>
      </c>
      <c r="H907" s="75"/>
    </row>
    <row r="908" spans="1:9" s="80" customFormat="1" ht="31.5" x14ac:dyDescent="0.25">
      <c r="A908" s="237" t="s">
        <v>1403</v>
      </c>
      <c r="B908" s="237" t="s">
        <v>1405</v>
      </c>
      <c r="C908" s="241" t="s">
        <v>1364</v>
      </c>
      <c r="D908" s="240" t="s">
        <v>1365</v>
      </c>
      <c r="E908" s="240"/>
      <c r="F908" s="198">
        <v>588398.43000000005</v>
      </c>
      <c r="G908" s="198">
        <f t="shared" si="34"/>
        <v>40561737.745750226</v>
      </c>
      <c r="H908" s="75"/>
    </row>
    <row r="909" spans="1:9" s="80" customFormat="1" ht="31.5" x14ac:dyDescent="0.25">
      <c r="A909" s="237" t="s">
        <v>1403</v>
      </c>
      <c r="B909" s="237" t="s">
        <v>1406</v>
      </c>
      <c r="C909" s="239" t="s">
        <v>1262</v>
      </c>
      <c r="D909" s="240" t="s">
        <v>1407</v>
      </c>
      <c r="E909" s="198"/>
      <c r="F909" s="198">
        <v>862188</v>
      </c>
      <c r="G909" s="198">
        <f t="shared" si="34"/>
        <v>39699549.745750226</v>
      </c>
      <c r="H909" s="75"/>
    </row>
    <row r="910" spans="1:9" s="80" customFormat="1" ht="31.5" x14ac:dyDescent="0.25">
      <c r="A910" s="237" t="s">
        <v>1403</v>
      </c>
      <c r="B910" s="237" t="s">
        <v>1408</v>
      </c>
      <c r="C910" s="239" t="s">
        <v>1409</v>
      </c>
      <c r="D910" s="240" t="s">
        <v>1410</v>
      </c>
      <c r="E910" s="239"/>
      <c r="F910" s="198">
        <v>1203764</v>
      </c>
      <c r="G910" s="198">
        <f t="shared" si="34"/>
        <v>38495785.745750226</v>
      </c>
      <c r="H910" s="75"/>
    </row>
    <row r="911" spans="1:9" s="80" customFormat="1" ht="31.5" x14ac:dyDescent="0.25">
      <c r="A911" s="237" t="s">
        <v>1403</v>
      </c>
      <c r="B911" s="237" t="s">
        <v>1412</v>
      </c>
      <c r="C911" s="239" t="s">
        <v>1413</v>
      </c>
      <c r="D911" s="240" t="s">
        <v>1414</v>
      </c>
      <c r="E911" s="239"/>
      <c r="F911" s="198">
        <v>711085.76</v>
      </c>
      <c r="G911" s="198">
        <f t="shared" si="34"/>
        <v>37784699.985750228</v>
      </c>
      <c r="H911" s="75"/>
    </row>
    <row r="912" spans="1:9" s="80" customFormat="1" ht="31.5" x14ac:dyDescent="0.25">
      <c r="A912" s="237" t="s">
        <v>1403</v>
      </c>
      <c r="B912" s="237" t="s">
        <v>1411</v>
      </c>
      <c r="C912" s="239" t="s">
        <v>1242</v>
      </c>
      <c r="D912" s="240" t="s">
        <v>1415</v>
      </c>
      <c r="E912" s="239"/>
      <c r="F912" s="198">
        <v>492729.72</v>
      </c>
      <c r="G912" s="198">
        <f t="shared" si="34"/>
        <v>37291970.265750229</v>
      </c>
      <c r="H912" s="75"/>
    </row>
    <row r="913" spans="1:8" s="80" customFormat="1" ht="31.5" x14ac:dyDescent="0.25">
      <c r="A913" s="237" t="s">
        <v>1403</v>
      </c>
      <c r="B913" s="237" t="s">
        <v>1427</v>
      </c>
      <c r="C913" s="239" t="s">
        <v>1428</v>
      </c>
      <c r="D913" s="240" t="s">
        <v>1429</v>
      </c>
      <c r="E913" s="239"/>
      <c r="F913" s="198">
        <v>1362365</v>
      </c>
      <c r="G913" s="198">
        <f t="shared" si="34"/>
        <v>35929605.265750229</v>
      </c>
      <c r="H913" s="75"/>
    </row>
    <row r="914" spans="1:8" s="80" customFormat="1" ht="15.75" x14ac:dyDescent="0.25">
      <c r="A914" s="237" t="s">
        <v>1404</v>
      </c>
      <c r="B914" s="237"/>
      <c r="C914" s="239" t="s">
        <v>13</v>
      </c>
      <c r="D914" s="240" t="s">
        <v>22</v>
      </c>
      <c r="E914" s="198">
        <v>59727</v>
      </c>
      <c r="F914" s="198"/>
      <c r="G914" s="198">
        <f t="shared" si="34"/>
        <v>35989332.265750229</v>
      </c>
      <c r="H914" s="75"/>
    </row>
    <row r="915" spans="1:8" s="80" customFormat="1" ht="15.75" x14ac:dyDescent="0.25">
      <c r="A915" s="237" t="s">
        <v>1404</v>
      </c>
      <c r="B915" s="237"/>
      <c r="C915" s="239" t="s">
        <v>13</v>
      </c>
      <c r="D915" s="240" t="s">
        <v>48</v>
      </c>
      <c r="E915" s="198">
        <v>10000</v>
      </c>
      <c r="F915" s="198">
        <f>E915*0.025</f>
        <v>250</v>
      </c>
      <c r="G915" s="198">
        <f t="shared" si="34"/>
        <v>35999082.265750229</v>
      </c>
      <c r="H915" s="21"/>
    </row>
    <row r="916" spans="1:8" s="80" customFormat="1" ht="15.75" x14ac:dyDescent="0.25">
      <c r="A916" s="237" t="s">
        <v>1404</v>
      </c>
      <c r="B916" s="237"/>
      <c r="C916" s="239" t="s">
        <v>13</v>
      </c>
      <c r="D916" s="240" t="s">
        <v>48</v>
      </c>
      <c r="E916" s="198">
        <v>490</v>
      </c>
      <c r="F916" s="198">
        <f t="shared" ref="F916:F918" si="35">E916*0.025</f>
        <v>12.25</v>
      </c>
      <c r="G916" s="198">
        <f t="shared" si="34"/>
        <v>35999560.015750229</v>
      </c>
      <c r="H916" s="21"/>
    </row>
    <row r="917" spans="1:8" s="80" customFormat="1" ht="15.75" x14ac:dyDescent="0.25">
      <c r="A917" s="237" t="s">
        <v>1404</v>
      </c>
      <c r="B917" s="237"/>
      <c r="C917" s="239" t="s">
        <v>13</v>
      </c>
      <c r="D917" s="240" t="s">
        <v>48</v>
      </c>
      <c r="E917" s="198">
        <v>100</v>
      </c>
      <c r="F917" s="198">
        <f t="shared" si="35"/>
        <v>2.5</v>
      </c>
      <c r="G917" s="198">
        <f t="shared" si="34"/>
        <v>35999657.515750229</v>
      </c>
      <c r="H917" s="21"/>
    </row>
    <row r="918" spans="1:8" s="80" customFormat="1" ht="15.75" x14ac:dyDescent="0.25">
      <c r="A918" s="237" t="s">
        <v>1404</v>
      </c>
      <c r="B918" s="237"/>
      <c r="C918" s="239" t="s">
        <v>13</v>
      </c>
      <c r="D918" s="240" t="s">
        <v>48</v>
      </c>
      <c r="E918" s="198">
        <v>500</v>
      </c>
      <c r="F918" s="198">
        <f t="shared" si="35"/>
        <v>12.5</v>
      </c>
      <c r="G918" s="198">
        <f t="shared" si="34"/>
        <v>36000145.015750229</v>
      </c>
      <c r="H918" s="21"/>
    </row>
    <row r="919" spans="1:8" s="80" customFormat="1" ht="15.75" x14ac:dyDescent="0.25">
      <c r="A919" s="237" t="s">
        <v>1404</v>
      </c>
      <c r="B919" s="237"/>
      <c r="C919" s="239" t="s">
        <v>12</v>
      </c>
      <c r="D919" s="240" t="s">
        <v>26</v>
      </c>
      <c r="E919" s="198">
        <v>28841602.899999999</v>
      </c>
      <c r="F919" s="198"/>
      <c r="G919" s="198">
        <f t="shared" si="34"/>
        <v>64841747.915750228</v>
      </c>
      <c r="H919" s="75"/>
    </row>
    <row r="920" spans="1:8" s="80" customFormat="1" ht="15.75" x14ac:dyDescent="0.25">
      <c r="A920" s="237" t="s">
        <v>1404</v>
      </c>
      <c r="B920" s="237"/>
      <c r="C920" s="239" t="s">
        <v>12</v>
      </c>
      <c r="D920" s="240" t="s">
        <v>26</v>
      </c>
      <c r="E920" s="198">
        <v>2055983.83</v>
      </c>
      <c r="F920" s="198"/>
      <c r="G920" s="198">
        <f t="shared" si="34"/>
        <v>66897731.745750226</v>
      </c>
      <c r="H920" s="75"/>
    </row>
    <row r="921" spans="1:8" s="80" customFormat="1" ht="15.75" x14ac:dyDescent="0.25">
      <c r="A921" s="237" t="s">
        <v>1404</v>
      </c>
      <c r="B921" s="237"/>
      <c r="C921" s="239" t="s">
        <v>12</v>
      </c>
      <c r="D921" s="240" t="s">
        <v>27</v>
      </c>
      <c r="E921" s="198">
        <v>834208.57</v>
      </c>
      <c r="F921" s="198"/>
      <c r="G921" s="198">
        <f t="shared" si="34"/>
        <v>67731940.315750226</v>
      </c>
      <c r="H921" s="75"/>
    </row>
    <row r="922" spans="1:8" s="80" customFormat="1" ht="15.75" x14ac:dyDescent="0.25">
      <c r="A922" s="237" t="s">
        <v>1404</v>
      </c>
      <c r="B922" s="237"/>
      <c r="C922" s="239" t="s">
        <v>12</v>
      </c>
      <c r="D922" s="240" t="s">
        <v>28</v>
      </c>
      <c r="E922" s="198">
        <v>443326.11</v>
      </c>
      <c r="F922" s="198"/>
      <c r="G922" s="198">
        <f t="shared" si="34"/>
        <v>68175266.425750226</v>
      </c>
      <c r="H922" s="75"/>
    </row>
    <row r="923" spans="1:8" s="80" customFormat="1" ht="15.75" x14ac:dyDescent="0.25">
      <c r="A923" s="237" t="s">
        <v>1404</v>
      </c>
      <c r="B923" s="237"/>
      <c r="C923" s="239" t="s">
        <v>12</v>
      </c>
      <c r="D923" s="240" t="s">
        <v>33</v>
      </c>
      <c r="E923" s="198">
        <v>181423.32</v>
      </c>
      <c r="F923" s="198"/>
      <c r="G923" s="198">
        <f>G922+E923-F923</f>
        <v>68356689.745750219</v>
      </c>
      <c r="H923" s="75"/>
    </row>
    <row r="924" spans="1:8" s="80" customFormat="1" ht="15.75" x14ac:dyDescent="0.25">
      <c r="A924" s="237" t="s">
        <v>1404</v>
      </c>
      <c r="B924" s="237"/>
      <c r="C924" s="239" t="s">
        <v>12</v>
      </c>
      <c r="D924" s="240" t="s">
        <v>25</v>
      </c>
      <c r="E924" s="198">
        <v>131852.01999999999</v>
      </c>
      <c r="F924" s="198"/>
      <c r="G924" s="198">
        <f t="shared" si="34"/>
        <v>68488541.765750214</v>
      </c>
      <c r="H924" s="75"/>
    </row>
    <row r="925" spans="1:8" s="80" customFormat="1" ht="15.75" x14ac:dyDescent="0.25">
      <c r="A925" s="237" t="s">
        <v>1404</v>
      </c>
      <c r="B925" s="237"/>
      <c r="C925" s="239" t="s">
        <v>12</v>
      </c>
      <c r="D925" s="240" t="s">
        <v>660</v>
      </c>
      <c r="E925" s="198">
        <v>34112.230000000003</v>
      </c>
      <c r="F925" s="198"/>
      <c r="G925" s="198">
        <f t="shared" si="34"/>
        <v>68522653.995750219</v>
      </c>
      <c r="H925" s="75"/>
    </row>
    <row r="926" spans="1:8" s="80" customFormat="1" ht="31.5" x14ac:dyDescent="0.25">
      <c r="A926" s="237" t="s">
        <v>1404</v>
      </c>
      <c r="B926" s="237" t="s">
        <v>1416</v>
      </c>
      <c r="C926" s="239" t="s">
        <v>1228</v>
      </c>
      <c r="D926" s="240" t="s">
        <v>1417</v>
      </c>
      <c r="E926" s="239"/>
      <c r="F926" s="198">
        <v>1028842.54</v>
      </c>
      <c r="G926" s="198">
        <f t="shared" si="34"/>
        <v>67493811.455750212</v>
      </c>
      <c r="H926" s="75"/>
    </row>
    <row r="927" spans="1:8" s="80" customFormat="1" ht="31.5" x14ac:dyDescent="0.25">
      <c r="A927" s="237" t="s">
        <v>1404</v>
      </c>
      <c r="B927" s="237" t="s">
        <v>1418</v>
      </c>
      <c r="C927" s="239" t="s">
        <v>1419</v>
      </c>
      <c r="D927" s="240" t="s">
        <v>1420</v>
      </c>
      <c r="E927" s="239"/>
      <c r="F927" s="198">
        <v>1036260</v>
      </c>
      <c r="G927" s="198">
        <f t="shared" si="34"/>
        <v>66457551.455750212</v>
      </c>
      <c r="H927" s="75"/>
    </row>
    <row r="928" spans="1:8" s="80" customFormat="1" ht="43.5" customHeight="1" x14ac:dyDescent="0.25">
      <c r="A928" s="237" t="s">
        <v>1404</v>
      </c>
      <c r="B928" s="237" t="s">
        <v>1421</v>
      </c>
      <c r="C928" s="240" t="s">
        <v>1422</v>
      </c>
      <c r="D928" s="240" t="s">
        <v>1423</v>
      </c>
      <c r="E928" s="239"/>
      <c r="F928" s="198">
        <v>206519.1</v>
      </c>
      <c r="G928" s="198">
        <f t="shared" si="34"/>
        <v>66251032.355750211</v>
      </c>
      <c r="H928" s="75"/>
    </row>
    <row r="929" spans="1:8" s="80" customFormat="1" ht="31.5" x14ac:dyDescent="0.25">
      <c r="A929" s="237" t="s">
        <v>1404</v>
      </c>
      <c r="B929" s="237" t="s">
        <v>1424</v>
      </c>
      <c r="C929" s="239" t="s">
        <v>1425</v>
      </c>
      <c r="D929" s="240" t="s">
        <v>1426</v>
      </c>
      <c r="E929" s="239"/>
      <c r="F929" s="198">
        <v>216473.5</v>
      </c>
      <c r="G929" s="198">
        <f>G928+E929-F929</f>
        <v>66034558.855750211</v>
      </c>
      <c r="H929" s="75"/>
    </row>
    <row r="930" spans="1:8" s="80" customFormat="1" ht="15.75" x14ac:dyDescent="0.25">
      <c r="A930" s="234">
        <v>44712</v>
      </c>
      <c r="B930" s="237"/>
      <c r="C930" s="239" t="s">
        <v>931</v>
      </c>
      <c r="D930" s="240" t="s">
        <v>1433</v>
      </c>
      <c r="E930" s="239"/>
      <c r="F930" s="198">
        <v>1207890</v>
      </c>
      <c r="G930" s="198">
        <f t="shared" ref="G930:G931" si="36">G929+E930-F930</f>
        <v>64826668.855750211</v>
      </c>
      <c r="H930" s="75"/>
    </row>
    <row r="931" spans="1:8" s="80" customFormat="1" ht="15.75" x14ac:dyDescent="0.25">
      <c r="A931" s="234">
        <v>44712</v>
      </c>
      <c r="B931" s="237"/>
      <c r="C931" s="239" t="s">
        <v>931</v>
      </c>
      <c r="D931" s="240" t="s">
        <v>1432</v>
      </c>
      <c r="E931" s="239"/>
      <c r="F931" s="198">
        <v>76959.8</v>
      </c>
      <c r="G931" s="198">
        <f t="shared" si="36"/>
        <v>64749709.055750214</v>
      </c>
      <c r="H931" s="75"/>
    </row>
    <row r="932" spans="1:8" s="80" customFormat="1" ht="15.75" x14ac:dyDescent="0.25">
      <c r="A932" s="234">
        <v>44712</v>
      </c>
      <c r="B932" s="237"/>
      <c r="C932" s="239" t="s">
        <v>13</v>
      </c>
      <c r="D932" s="239" t="s">
        <v>1434</v>
      </c>
      <c r="E932" s="198">
        <v>2645</v>
      </c>
      <c r="F932" s="198"/>
      <c r="G932" s="199">
        <f>G931+E932-F932</f>
        <v>64752354.055750214</v>
      </c>
    </row>
    <row r="933" spans="1:8" s="80" customFormat="1" ht="16.5" customHeight="1" thickBot="1" x14ac:dyDescent="0.3">
      <c r="A933" s="41"/>
      <c r="B933" s="71"/>
      <c r="C933" s="41"/>
      <c r="D933" s="41"/>
      <c r="E933" s="61">
        <f>SUM(E744:E932)</f>
        <v>75401691.74999997</v>
      </c>
      <c r="F933" s="61">
        <f>SUM(F744:F932)</f>
        <v>74993068.709999993</v>
      </c>
      <c r="G933" s="213"/>
    </row>
    <row r="934" spans="1:8" s="80" customFormat="1" ht="16.5" customHeight="1" thickTop="1" x14ac:dyDescent="0.25">
      <c r="A934" s="41"/>
      <c r="B934" s="71"/>
      <c r="C934" s="41"/>
      <c r="D934" s="41"/>
      <c r="E934" s="29"/>
      <c r="F934" s="29"/>
      <c r="G934" s="213"/>
    </row>
    <row r="935" spans="1:8" s="80" customFormat="1" ht="16.5" customHeight="1" x14ac:dyDescent="0.25">
      <c r="A935" s="41"/>
      <c r="B935" s="71"/>
      <c r="C935" s="41"/>
      <c r="D935" s="41"/>
      <c r="E935" s="29"/>
      <c r="F935" s="29"/>
      <c r="G935" s="213"/>
    </row>
    <row r="936" spans="1:8" s="80" customFormat="1" ht="16.5" customHeight="1" x14ac:dyDescent="0.25">
      <c r="A936" s="41"/>
      <c r="B936" s="71"/>
      <c r="C936" s="41"/>
      <c r="D936" s="41"/>
      <c r="E936" s="52"/>
      <c r="F936" s="29"/>
      <c r="G936" s="213"/>
    </row>
    <row r="937" spans="1:8" s="80" customFormat="1" ht="16.5" customHeight="1" x14ac:dyDescent="0.25">
      <c r="A937" s="41"/>
      <c r="B937" s="71"/>
      <c r="C937" s="41"/>
      <c r="D937" s="41"/>
      <c r="E937" s="41"/>
      <c r="F937" s="29"/>
      <c r="G937" s="213"/>
    </row>
    <row r="938" spans="1:8" s="80" customFormat="1" ht="16.5" customHeight="1" x14ac:dyDescent="0.25">
      <c r="A938" s="41"/>
      <c r="B938" s="71"/>
      <c r="C938" s="41"/>
      <c r="D938" s="41"/>
      <c r="E938" s="41"/>
      <c r="F938" s="29"/>
      <c r="G938" s="213"/>
    </row>
    <row r="939" spans="1:8" s="80" customFormat="1" ht="16.5" customHeight="1" x14ac:dyDescent="0.25">
      <c r="A939" s="41"/>
      <c r="B939" s="71"/>
      <c r="C939" s="41"/>
      <c r="D939" s="41"/>
      <c r="E939" s="41"/>
      <c r="F939" s="29"/>
      <c r="G939" s="213"/>
    </row>
    <row r="940" spans="1:8" s="80" customFormat="1" ht="16.5" customHeight="1" x14ac:dyDescent="0.25">
      <c r="A940" s="41"/>
      <c r="B940" s="71"/>
      <c r="C940" s="41"/>
      <c r="D940" s="41"/>
      <c r="E940" s="41"/>
      <c r="F940" s="29"/>
      <c r="G940" s="213"/>
    </row>
    <row r="941" spans="1:8" s="80" customFormat="1" ht="16.5" customHeight="1" x14ac:dyDescent="0.25">
      <c r="A941" s="41"/>
      <c r="B941" s="41"/>
      <c r="C941" s="41"/>
      <c r="D941" s="41"/>
      <c r="E941" s="41"/>
      <c r="F941" s="41"/>
      <c r="G941" s="213"/>
    </row>
    <row r="942" spans="1:8" s="80" customFormat="1" ht="16.5" customHeight="1" x14ac:dyDescent="0.25">
      <c r="A942" s="41"/>
      <c r="B942" s="41"/>
      <c r="C942" s="41"/>
      <c r="D942" s="41"/>
      <c r="E942" s="41"/>
      <c r="F942" s="41"/>
      <c r="G942" s="213"/>
    </row>
    <row r="943" spans="1:8" s="80" customFormat="1" ht="16.5" customHeight="1" x14ac:dyDescent="0.25">
      <c r="A943" s="41"/>
      <c r="B943" s="41"/>
      <c r="C943" s="41"/>
      <c r="D943" s="41"/>
      <c r="E943" s="41"/>
      <c r="F943" s="41"/>
      <c r="G943" s="213"/>
    </row>
    <row r="944" spans="1:8" ht="16.5" customHeight="1" x14ac:dyDescent="0.25">
      <c r="B944" s="75"/>
      <c r="C944" s="75"/>
      <c r="D944" s="75"/>
      <c r="E944" s="75"/>
      <c r="F944" s="75"/>
      <c r="G944" s="75"/>
    </row>
    <row r="945" spans="1:7" ht="16.5" customHeight="1" x14ac:dyDescent="0.25">
      <c r="B945" s="75"/>
      <c r="C945" s="75"/>
      <c r="D945" s="75"/>
      <c r="E945" s="75"/>
      <c r="F945" s="75"/>
      <c r="G945" s="75"/>
    </row>
    <row r="946" spans="1:7" ht="16.5" customHeight="1" x14ac:dyDescent="0.25">
      <c r="A946" s="186" t="s">
        <v>66</v>
      </c>
      <c r="B946" s="75"/>
      <c r="C946" s="75"/>
      <c r="D946" s="28" t="s">
        <v>64</v>
      </c>
      <c r="E946" s="253" t="s">
        <v>1254</v>
      </c>
      <c r="F946" s="253"/>
      <c r="G946" s="253"/>
    </row>
    <row r="947" spans="1:7" ht="16.5" customHeight="1" x14ac:dyDescent="0.25">
      <c r="A947" s="75" t="s">
        <v>67</v>
      </c>
      <c r="B947" s="75"/>
      <c r="C947" s="75"/>
      <c r="D947" s="205" t="s">
        <v>61</v>
      </c>
      <c r="E947" s="254" t="s">
        <v>1255</v>
      </c>
      <c r="F947" s="254"/>
      <c r="G947" s="254"/>
    </row>
    <row r="948" spans="1:7" ht="16.5" customHeight="1" x14ac:dyDescent="0.25">
      <c r="B948" s="75"/>
      <c r="C948" s="75"/>
      <c r="D948" s="206" t="s">
        <v>68</v>
      </c>
      <c r="E948" s="75"/>
      <c r="F948" s="75"/>
      <c r="G948" s="75"/>
    </row>
    <row r="949" spans="1:7" ht="16.5" customHeight="1" x14ac:dyDescent="0.25">
      <c r="B949" s="75"/>
      <c r="C949" s="75"/>
      <c r="D949" s="75"/>
      <c r="E949" s="75"/>
      <c r="F949" s="75"/>
      <c r="G949" s="75"/>
    </row>
    <row r="950" spans="1:7" ht="16.5" customHeight="1" x14ac:dyDescent="0.25">
      <c r="B950" s="75"/>
      <c r="C950" s="75"/>
      <c r="D950" s="75"/>
      <c r="E950" s="75"/>
      <c r="F950" s="75"/>
      <c r="G950" s="75"/>
    </row>
    <row r="951" spans="1:7" ht="16.5" customHeight="1" x14ac:dyDescent="0.25">
      <c r="B951" s="75"/>
      <c r="C951" s="75"/>
      <c r="D951" s="75"/>
      <c r="E951" s="75"/>
      <c r="F951" s="75"/>
      <c r="G951" s="75"/>
    </row>
    <row r="952" spans="1:7" ht="16.5" customHeight="1" x14ac:dyDescent="0.25">
      <c r="B952" s="75"/>
      <c r="C952" s="75"/>
      <c r="D952" s="75"/>
      <c r="E952" s="75"/>
      <c r="F952" s="75"/>
      <c r="G952" s="75"/>
    </row>
    <row r="953" spans="1:7" ht="16.5" customHeight="1" x14ac:dyDescent="0.25">
      <c r="B953" s="75"/>
      <c r="C953" s="75"/>
      <c r="D953" s="75"/>
      <c r="E953" s="75"/>
      <c r="F953" s="75"/>
      <c r="G953" s="75"/>
    </row>
    <row r="954" spans="1:7" ht="16.5" customHeight="1" x14ac:dyDescent="0.25">
      <c r="A954" s="22"/>
      <c r="B954" s="75"/>
      <c r="C954" s="75"/>
      <c r="D954" s="75"/>
      <c r="E954" s="75"/>
      <c r="F954" s="75"/>
      <c r="G954" s="75"/>
    </row>
    <row r="955" spans="1:7" ht="16.5" customHeight="1" x14ac:dyDescent="0.25">
      <c r="A955" s="22"/>
      <c r="B955" s="75"/>
      <c r="C955" s="75"/>
      <c r="D955" s="75"/>
      <c r="E955" s="75"/>
      <c r="F955" s="75"/>
      <c r="G955" s="75"/>
    </row>
    <row r="956" spans="1:7" ht="16.5" customHeight="1" x14ac:dyDescent="0.25">
      <c r="A956" s="22"/>
      <c r="B956" s="75"/>
      <c r="C956" s="75"/>
      <c r="D956" s="75"/>
      <c r="E956" s="75"/>
      <c r="F956" s="75"/>
      <c r="G956" s="75"/>
    </row>
    <row r="957" spans="1:7" ht="16.5" customHeight="1" x14ac:dyDescent="0.25">
      <c r="A957" s="22"/>
      <c r="B957" s="75"/>
      <c r="C957" s="75"/>
      <c r="D957" s="75"/>
      <c r="E957" s="75"/>
      <c r="F957" s="75"/>
      <c r="G957" s="75"/>
    </row>
    <row r="958" spans="1:7" ht="16.5" customHeight="1" x14ac:dyDescent="0.25">
      <c r="A958" s="22"/>
      <c r="B958" s="75"/>
      <c r="C958" s="75"/>
      <c r="D958" s="75"/>
      <c r="E958" s="75"/>
      <c r="F958" s="75"/>
      <c r="G958" s="75"/>
    </row>
    <row r="959" spans="1:7" ht="16.5" customHeight="1" x14ac:dyDescent="0.25">
      <c r="A959" s="22"/>
      <c r="B959" s="75"/>
      <c r="C959" s="75"/>
      <c r="D959" s="75"/>
      <c r="E959" s="75"/>
      <c r="F959" s="75"/>
      <c r="G959" s="75"/>
    </row>
    <row r="960" spans="1:7" ht="16.5" customHeight="1" x14ac:dyDescent="0.25">
      <c r="A960" s="22"/>
      <c r="B960" s="75"/>
      <c r="C960" s="75"/>
      <c r="D960" s="75"/>
      <c r="E960" s="75"/>
      <c r="F960" s="75"/>
      <c r="G960" s="75"/>
    </row>
    <row r="961" spans="1:7" ht="16.5" customHeight="1" x14ac:dyDescent="0.25">
      <c r="A961" s="22"/>
      <c r="B961" s="75"/>
      <c r="C961" s="75"/>
      <c r="D961" s="75"/>
      <c r="E961" s="75"/>
      <c r="F961" s="75"/>
      <c r="G961" s="75"/>
    </row>
    <row r="962" spans="1:7" ht="16.5" customHeight="1" x14ac:dyDescent="0.25">
      <c r="A962" s="22"/>
      <c r="B962" s="75"/>
      <c r="C962" s="75"/>
      <c r="D962" s="75"/>
      <c r="E962" s="75"/>
      <c r="F962" s="75"/>
      <c r="G962" s="75"/>
    </row>
    <row r="963" spans="1:7" ht="16.5" customHeight="1" x14ac:dyDescent="0.25">
      <c r="A963" s="22"/>
      <c r="B963" s="75"/>
      <c r="C963" s="75"/>
      <c r="D963" s="75"/>
      <c r="E963" s="75"/>
      <c r="F963" s="75"/>
      <c r="G963" s="75"/>
    </row>
    <row r="964" spans="1:7" ht="16.5" customHeight="1" x14ac:dyDescent="0.25">
      <c r="A964" s="22"/>
      <c r="B964" s="75"/>
      <c r="C964" s="75"/>
      <c r="D964" s="75"/>
      <c r="E964" s="75"/>
      <c r="F964" s="75"/>
      <c r="G964" s="75"/>
    </row>
    <row r="965" spans="1:7" ht="16.5" customHeight="1" x14ac:dyDescent="0.25">
      <c r="A965" s="22"/>
      <c r="B965" s="75"/>
      <c r="C965" s="75"/>
      <c r="D965" s="75"/>
      <c r="E965" s="75"/>
      <c r="F965" s="75"/>
      <c r="G965" s="75"/>
    </row>
    <row r="966" spans="1:7" ht="16.5" customHeight="1" x14ac:dyDescent="0.25">
      <c r="A966" s="22"/>
      <c r="B966" s="75"/>
      <c r="C966" s="75"/>
      <c r="D966" s="75"/>
      <c r="E966" s="75"/>
      <c r="F966" s="75"/>
      <c r="G966" s="75"/>
    </row>
    <row r="967" spans="1:7" ht="16.5" customHeight="1" x14ac:dyDescent="0.25">
      <c r="A967" s="22"/>
      <c r="B967" s="75"/>
      <c r="C967" s="75"/>
      <c r="D967" s="75"/>
      <c r="E967" s="75"/>
      <c r="F967" s="75"/>
      <c r="G967" s="75"/>
    </row>
    <row r="968" spans="1:7" ht="16.5" customHeight="1" x14ac:dyDescent="0.25">
      <c r="A968" s="22"/>
      <c r="B968" s="75"/>
      <c r="C968" s="75"/>
      <c r="D968" s="75"/>
      <c r="E968" s="75"/>
      <c r="F968" s="75"/>
      <c r="G968" s="75"/>
    </row>
    <row r="969" spans="1:7" ht="16.5" customHeight="1" x14ac:dyDescent="0.25">
      <c r="A969" s="22"/>
      <c r="B969" s="75"/>
      <c r="C969" s="75"/>
      <c r="D969" s="75"/>
      <c r="E969" s="75"/>
      <c r="F969" s="75"/>
      <c r="G969" s="75"/>
    </row>
    <row r="970" spans="1:7" ht="16.5" customHeight="1" x14ac:dyDescent="0.25">
      <c r="A970" s="22"/>
      <c r="B970" s="75"/>
      <c r="C970" s="75"/>
      <c r="D970" s="75"/>
      <c r="E970" s="75"/>
      <c r="F970" s="75"/>
      <c r="G970" s="75"/>
    </row>
    <row r="971" spans="1:7" ht="16.5" customHeight="1" x14ac:dyDescent="0.25">
      <c r="A971" s="22"/>
      <c r="B971" s="75"/>
      <c r="C971" s="75"/>
      <c r="D971" s="75"/>
      <c r="E971" s="75"/>
      <c r="F971" s="75"/>
      <c r="G971" s="75"/>
    </row>
    <row r="972" spans="1:7" ht="16.5" customHeight="1" x14ac:dyDescent="0.25">
      <c r="A972" s="22"/>
      <c r="B972" s="75"/>
      <c r="C972" s="75"/>
      <c r="D972" s="75"/>
      <c r="E972" s="75"/>
      <c r="F972" s="75"/>
      <c r="G972" s="75"/>
    </row>
    <row r="973" spans="1:7" ht="16.5" customHeight="1" x14ac:dyDescent="0.25">
      <c r="A973" s="22"/>
      <c r="B973" s="75"/>
      <c r="C973" s="75"/>
      <c r="D973" s="75"/>
      <c r="E973" s="75"/>
      <c r="F973" s="75"/>
      <c r="G973" s="75"/>
    </row>
    <row r="974" spans="1:7" ht="16.5" customHeight="1" x14ac:dyDescent="0.25">
      <c r="A974" s="22"/>
      <c r="B974" s="75"/>
      <c r="C974" s="75"/>
      <c r="D974" s="75"/>
      <c r="E974" s="75"/>
      <c r="F974" s="75"/>
      <c r="G974" s="75"/>
    </row>
    <row r="975" spans="1:7" ht="16.5" customHeight="1" x14ac:dyDescent="0.25">
      <c r="A975" s="22"/>
      <c r="B975" s="75"/>
      <c r="C975" s="75"/>
      <c r="D975" s="75"/>
      <c r="E975" s="75"/>
      <c r="F975" s="75"/>
      <c r="G975" s="75"/>
    </row>
    <row r="976" spans="1:7" ht="16.5" customHeight="1" x14ac:dyDescent="0.25">
      <c r="A976" s="22"/>
      <c r="B976" s="75"/>
      <c r="C976" s="75"/>
      <c r="D976" s="75"/>
      <c r="E976" s="75"/>
      <c r="F976" s="75"/>
      <c r="G976" s="75"/>
    </row>
    <row r="977" spans="1:7" ht="16.5" customHeight="1" x14ac:dyDescent="0.25">
      <c r="A977" s="22"/>
      <c r="B977" s="75"/>
      <c r="C977" s="75"/>
      <c r="D977" s="75"/>
      <c r="E977" s="75"/>
      <c r="F977" s="75"/>
      <c r="G977" s="75"/>
    </row>
    <row r="978" spans="1:7" ht="16.5" customHeight="1" x14ac:dyDescent="0.25">
      <c r="A978" s="22"/>
      <c r="B978" s="75"/>
      <c r="C978" s="75"/>
      <c r="D978" s="75"/>
      <c r="E978" s="75"/>
      <c r="F978" s="75"/>
      <c r="G978" s="75"/>
    </row>
    <row r="979" spans="1:7" ht="16.5" customHeight="1" x14ac:dyDescent="0.25">
      <c r="A979" s="22"/>
      <c r="B979" s="75"/>
      <c r="C979" s="75"/>
      <c r="D979" s="75"/>
      <c r="E979" s="75"/>
      <c r="F979" s="75"/>
      <c r="G979" s="75"/>
    </row>
    <row r="980" spans="1:7" ht="16.5" customHeight="1" x14ac:dyDescent="0.25">
      <c r="A980" s="22"/>
      <c r="B980" s="75"/>
      <c r="C980" s="75"/>
      <c r="D980" s="75"/>
      <c r="E980" s="75"/>
      <c r="F980" s="75"/>
      <c r="G980" s="75"/>
    </row>
    <row r="981" spans="1:7" ht="16.5" customHeight="1" x14ac:dyDescent="0.25">
      <c r="A981" s="22"/>
      <c r="B981" s="75"/>
      <c r="C981" s="75"/>
      <c r="D981" s="75"/>
      <c r="E981" s="75"/>
      <c r="F981" s="75"/>
      <c r="G981" s="75"/>
    </row>
    <row r="982" spans="1:7" ht="16.5" customHeight="1" x14ac:dyDescent="0.25">
      <c r="A982" s="22"/>
      <c r="B982" s="75"/>
      <c r="C982" s="75"/>
      <c r="D982" s="75"/>
      <c r="E982" s="75"/>
      <c r="F982" s="75"/>
      <c r="G982" s="75"/>
    </row>
    <row r="983" spans="1:7" ht="16.5" customHeight="1" x14ac:dyDescent="0.25">
      <c r="A983" s="22"/>
      <c r="B983" s="75"/>
      <c r="C983" s="75"/>
      <c r="D983" s="75"/>
      <c r="E983" s="75"/>
      <c r="F983" s="75"/>
      <c r="G983" s="75"/>
    </row>
    <row r="984" spans="1:7" ht="16.5" customHeight="1" x14ac:dyDescent="0.25">
      <c r="A984" s="22"/>
      <c r="B984" s="75"/>
      <c r="C984" s="75"/>
      <c r="D984" s="75"/>
      <c r="E984" s="75"/>
      <c r="F984" s="75"/>
      <c r="G984" s="75"/>
    </row>
    <row r="985" spans="1:7" ht="16.5" customHeight="1" x14ac:dyDescent="0.25">
      <c r="A985" s="22"/>
      <c r="B985" s="75"/>
      <c r="C985" s="75"/>
      <c r="D985" s="75"/>
      <c r="E985" s="75"/>
      <c r="F985" s="75"/>
      <c r="G985" s="75"/>
    </row>
    <row r="986" spans="1:7" ht="16.5" customHeight="1" x14ac:dyDescent="0.25">
      <c r="A986" s="22"/>
      <c r="B986" s="75"/>
      <c r="C986" s="75"/>
      <c r="D986" s="75"/>
      <c r="E986" s="75"/>
      <c r="F986" s="75"/>
      <c r="G986" s="75"/>
    </row>
    <row r="987" spans="1:7" ht="16.5" customHeight="1" x14ac:dyDescent="0.25">
      <c r="A987" s="22"/>
      <c r="B987" s="75"/>
      <c r="C987" s="75"/>
      <c r="D987" s="75"/>
      <c r="E987" s="75"/>
      <c r="F987" s="75"/>
      <c r="G987" s="75"/>
    </row>
    <row r="988" spans="1:7" ht="16.5" customHeight="1" x14ac:dyDescent="0.25">
      <c r="A988" s="22"/>
      <c r="B988" s="75"/>
      <c r="C988" s="75"/>
      <c r="D988" s="75"/>
      <c r="E988" s="75"/>
      <c r="F988" s="75"/>
      <c r="G988" s="75"/>
    </row>
    <row r="989" spans="1:7" ht="16.5" customHeight="1" x14ac:dyDescent="0.25">
      <c r="A989" s="22"/>
      <c r="B989" s="75"/>
      <c r="C989" s="75"/>
      <c r="D989" s="75"/>
      <c r="E989" s="75"/>
      <c r="F989" s="75"/>
      <c r="G989" s="75"/>
    </row>
    <row r="990" spans="1:7" ht="16.5" customHeight="1" x14ac:dyDescent="0.25">
      <c r="A990" s="22"/>
      <c r="B990" s="75"/>
      <c r="C990" s="75"/>
      <c r="D990" s="75"/>
      <c r="E990" s="75"/>
      <c r="F990" s="75"/>
      <c r="G990" s="75"/>
    </row>
    <row r="991" spans="1:7" ht="16.5" customHeight="1" x14ac:dyDescent="0.25">
      <c r="A991" s="22"/>
      <c r="B991" s="75"/>
      <c r="C991" s="75"/>
      <c r="D991" s="75"/>
      <c r="E991" s="75"/>
      <c r="F991" s="75"/>
      <c r="G991" s="75"/>
    </row>
    <row r="992" spans="1:7" ht="16.5" customHeight="1" x14ac:dyDescent="0.25">
      <c r="A992" s="22"/>
      <c r="B992" s="75"/>
      <c r="C992" s="75"/>
      <c r="D992" s="75"/>
      <c r="E992" s="75"/>
      <c r="F992" s="75"/>
      <c r="G992" s="75"/>
    </row>
    <row r="993" spans="1:7" ht="16.5" customHeight="1" x14ac:dyDescent="0.25">
      <c r="A993" s="22"/>
      <c r="B993" s="75"/>
      <c r="C993" s="75"/>
      <c r="D993" s="75"/>
      <c r="E993" s="75"/>
      <c r="F993" s="75"/>
      <c r="G993" s="75"/>
    </row>
    <row r="994" spans="1:7" ht="16.5" customHeight="1" x14ac:dyDescent="0.25">
      <c r="A994" s="22"/>
      <c r="B994" s="75"/>
      <c r="C994" s="75"/>
      <c r="D994" s="75"/>
      <c r="E994" s="75"/>
      <c r="F994" s="75"/>
      <c r="G994" s="75"/>
    </row>
    <row r="995" spans="1:7" ht="16.5" customHeight="1" x14ac:dyDescent="0.25">
      <c r="A995" s="22"/>
      <c r="B995" s="75"/>
      <c r="C995" s="75"/>
      <c r="D995" s="75"/>
      <c r="E995" s="75"/>
      <c r="F995" s="75"/>
      <c r="G995" s="75"/>
    </row>
    <row r="996" spans="1:7" ht="16.5" customHeight="1" x14ac:dyDescent="0.25">
      <c r="A996" s="22"/>
      <c r="B996" s="75"/>
      <c r="C996" s="75"/>
      <c r="D996" s="75"/>
      <c r="E996" s="75"/>
      <c r="F996" s="75"/>
      <c r="G996" s="75"/>
    </row>
    <row r="997" spans="1:7" ht="16.5" customHeight="1" x14ac:dyDescent="0.25">
      <c r="A997" s="22"/>
      <c r="B997" s="75"/>
      <c r="C997" s="75"/>
      <c r="D997" s="75"/>
      <c r="E997" s="75"/>
      <c r="F997" s="75"/>
      <c r="G997" s="75"/>
    </row>
    <row r="998" spans="1:7" ht="16.5" customHeight="1" x14ac:dyDescent="0.25">
      <c r="A998" s="22"/>
      <c r="B998" s="75"/>
      <c r="C998" s="75"/>
      <c r="D998" s="75"/>
      <c r="E998" s="75"/>
      <c r="F998" s="75"/>
      <c r="G998" s="75"/>
    </row>
    <row r="999" spans="1:7" ht="16.5" customHeight="1" x14ac:dyDescent="0.25">
      <c r="A999" s="22"/>
      <c r="B999" s="75"/>
      <c r="C999" s="75"/>
      <c r="D999" s="75"/>
      <c r="E999" s="75"/>
      <c r="F999" s="75"/>
      <c r="G999" s="75"/>
    </row>
    <row r="1000" spans="1:7" ht="16.5" customHeight="1" x14ac:dyDescent="0.25">
      <c r="A1000" s="22"/>
      <c r="B1000" s="75"/>
      <c r="C1000" s="75"/>
      <c r="D1000" s="75"/>
      <c r="E1000" s="75"/>
      <c r="F1000" s="75"/>
      <c r="G1000" s="75"/>
    </row>
    <row r="1001" spans="1:7" ht="16.5" customHeight="1" x14ac:dyDescent="0.25">
      <c r="A1001" s="22"/>
      <c r="B1001" s="75"/>
      <c r="C1001" s="75"/>
      <c r="D1001" s="75"/>
      <c r="E1001" s="75"/>
      <c r="F1001" s="75"/>
      <c r="G1001" s="75"/>
    </row>
    <row r="1002" spans="1:7" ht="16.5" customHeight="1" x14ac:dyDescent="0.25">
      <c r="A1002" s="22"/>
      <c r="B1002" s="75"/>
      <c r="C1002" s="75"/>
      <c r="D1002" s="75"/>
      <c r="E1002" s="75"/>
      <c r="F1002" s="75"/>
      <c r="G1002" s="75"/>
    </row>
    <row r="1003" spans="1:7" ht="16.5" customHeight="1" x14ac:dyDescent="0.25">
      <c r="A1003" s="22"/>
      <c r="B1003" s="75"/>
      <c r="C1003" s="75"/>
      <c r="D1003" s="75"/>
      <c r="E1003" s="75"/>
      <c r="F1003" s="75"/>
      <c r="G1003" s="75"/>
    </row>
    <row r="1004" spans="1:7" ht="16.5" customHeight="1" x14ac:dyDescent="0.25">
      <c r="A1004" s="22"/>
      <c r="B1004" s="75"/>
      <c r="C1004" s="75"/>
      <c r="D1004" s="75"/>
      <c r="E1004" s="75"/>
      <c r="F1004" s="75"/>
      <c r="G1004" s="75"/>
    </row>
    <row r="1005" spans="1:7" ht="16.5" customHeight="1" x14ac:dyDescent="0.25">
      <c r="A1005" s="22"/>
      <c r="B1005" s="75"/>
      <c r="C1005" s="75"/>
      <c r="D1005" s="75"/>
      <c r="E1005" s="75"/>
      <c r="F1005" s="75"/>
      <c r="G1005" s="75"/>
    </row>
    <row r="1006" spans="1:7" ht="16.5" customHeight="1" x14ac:dyDescent="0.25">
      <c r="A1006" s="22"/>
      <c r="B1006" s="75"/>
      <c r="C1006" s="75"/>
      <c r="D1006" s="75"/>
      <c r="E1006" s="75"/>
      <c r="F1006" s="75"/>
      <c r="G1006" s="75"/>
    </row>
    <row r="1007" spans="1:7" ht="16.5" customHeight="1" x14ac:dyDescent="0.25">
      <c r="A1007" s="22"/>
      <c r="B1007" s="75"/>
      <c r="C1007" s="75"/>
      <c r="D1007" s="75"/>
      <c r="E1007" s="75"/>
      <c r="F1007" s="75"/>
      <c r="G1007" s="75"/>
    </row>
    <row r="1008" spans="1:7" ht="16.5" customHeight="1" x14ac:dyDescent="0.25">
      <c r="A1008" s="22"/>
      <c r="B1008" s="75"/>
      <c r="C1008" s="75"/>
      <c r="D1008" s="75"/>
      <c r="E1008" s="75"/>
      <c r="F1008" s="75"/>
      <c r="G1008" s="75"/>
    </row>
    <row r="1009" spans="1:7" ht="16.5" customHeight="1" x14ac:dyDescent="0.25">
      <c r="A1009" s="22"/>
      <c r="B1009" s="75"/>
      <c r="C1009" s="75"/>
      <c r="D1009" s="75"/>
      <c r="E1009" s="75"/>
      <c r="F1009" s="75"/>
      <c r="G1009" s="75"/>
    </row>
    <row r="1010" spans="1:7" ht="16.5" customHeight="1" x14ac:dyDescent="0.25">
      <c r="A1010" s="22"/>
      <c r="B1010" s="75"/>
      <c r="C1010" s="75"/>
      <c r="D1010" s="75"/>
      <c r="E1010" s="75"/>
      <c r="F1010" s="75"/>
      <c r="G1010" s="75"/>
    </row>
    <row r="1011" spans="1:7" ht="16.5" customHeight="1" x14ac:dyDescent="0.25">
      <c r="A1011" s="22"/>
      <c r="B1011" s="75"/>
      <c r="C1011" s="75"/>
      <c r="D1011" s="75"/>
      <c r="E1011" s="75"/>
      <c r="F1011" s="75"/>
      <c r="G1011" s="75"/>
    </row>
    <row r="1012" spans="1:7" ht="16.5" customHeight="1" x14ac:dyDescent="0.25">
      <c r="A1012" s="22"/>
      <c r="B1012" s="75"/>
      <c r="C1012" s="75"/>
      <c r="D1012" s="75"/>
      <c r="E1012" s="75"/>
      <c r="F1012" s="75"/>
      <c r="G1012" s="75"/>
    </row>
    <row r="1013" spans="1:7" ht="16.5" customHeight="1" x14ac:dyDescent="0.25">
      <c r="A1013" s="22"/>
      <c r="B1013" s="75"/>
      <c r="C1013" s="75"/>
      <c r="D1013" s="75"/>
      <c r="E1013" s="75"/>
      <c r="F1013" s="75"/>
      <c r="G1013" s="75"/>
    </row>
    <row r="1014" spans="1:7" ht="16.5" customHeight="1" x14ac:dyDescent="0.25">
      <c r="A1014" s="22"/>
      <c r="B1014" s="75"/>
      <c r="C1014" s="75"/>
      <c r="D1014" s="75"/>
      <c r="E1014" s="75"/>
      <c r="F1014" s="75"/>
      <c r="G1014" s="75"/>
    </row>
    <row r="1015" spans="1:7" ht="16.5" customHeight="1" x14ac:dyDescent="0.25">
      <c r="A1015" s="22"/>
      <c r="B1015" s="75"/>
      <c r="C1015" s="75"/>
      <c r="D1015" s="75"/>
      <c r="E1015" s="75"/>
      <c r="F1015" s="75"/>
      <c r="G1015" s="75"/>
    </row>
    <row r="1016" spans="1:7" ht="16.5" customHeight="1" x14ac:dyDescent="0.25">
      <c r="A1016" s="22"/>
      <c r="B1016" s="75"/>
      <c r="C1016" s="75"/>
      <c r="D1016" s="75"/>
      <c r="E1016" s="75"/>
      <c r="F1016" s="75"/>
      <c r="G1016" s="75"/>
    </row>
    <row r="1017" spans="1:7" ht="16.5" customHeight="1" x14ac:dyDescent="0.25">
      <c r="A1017" s="22"/>
      <c r="B1017" s="75"/>
      <c r="C1017" s="75"/>
      <c r="D1017" s="75"/>
      <c r="E1017" s="75"/>
      <c r="F1017" s="75"/>
      <c r="G1017" s="75"/>
    </row>
    <row r="1018" spans="1:7" ht="16.5" customHeight="1" x14ac:dyDescent="0.25">
      <c r="A1018" s="22"/>
      <c r="B1018" s="75"/>
      <c r="C1018" s="75"/>
      <c r="D1018" s="75"/>
      <c r="E1018" s="75"/>
      <c r="F1018" s="75"/>
      <c r="G1018" s="75"/>
    </row>
    <row r="1019" spans="1:7" ht="16.5" customHeight="1" x14ac:dyDescent="0.25">
      <c r="A1019" s="22"/>
      <c r="B1019" s="75"/>
      <c r="C1019" s="75"/>
      <c r="D1019" s="75"/>
      <c r="E1019" s="75"/>
      <c r="F1019" s="75"/>
      <c r="G1019" s="75"/>
    </row>
    <row r="1020" spans="1:7" ht="16.5" customHeight="1" x14ac:dyDescent="0.25">
      <c r="A1020" s="22"/>
      <c r="B1020" s="75"/>
      <c r="C1020" s="75"/>
      <c r="D1020" s="75"/>
      <c r="E1020" s="75"/>
      <c r="F1020" s="75"/>
      <c r="G1020" s="75"/>
    </row>
    <row r="1021" spans="1:7" ht="16.5" customHeight="1" x14ac:dyDescent="0.25">
      <c r="A1021" s="22"/>
      <c r="B1021" s="75"/>
      <c r="C1021" s="75"/>
      <c r="D1021" s="75"/>
      <c r="E1021" s="75"/>
      <c r="F1021" s="75"/>
      <c r="G1021" s="75"/>
    </row>
    <row r="1022" spans="1:7" ht="16.5" customHeight="1" x14ac:dyDescent="0.25">
      <c r="A1022" s="22"/>
      <c r="B1022" s="75"/>
      <c r="C1022" s="75"/>
      <c r="D1022" s="75"/>
      <c r="E1022" s="75"/>
      <c r="F1022" s="75"/>
      <c r="G1022" s="75"/>
    </row>
    <row r="1023" spans="1:7" ht="16.5" customHeight="1" x14ac:dyDescent="0.25">
      <c r="A1023" s="22"/>
      <c r="B1023" s="75"/>
      <c r="C1023" s="75"/>
      <c r="D1023" s="75"/>
      <c r="E1023" s="75"/>
      <c r="F1023" s="75"/>
      <c r="G1023" s="75"/>
    </row>
    <row r="1024" spans="1:7" ht="16.5" customHeight="1" x14ac:dyDescent="0.25">
      <c r="A1024" s="22"/>
      <c r="B1024" s="75"/>
      <c r="C1024" s="75"/>
      <c r="D1024" s="75"/>
      <c r="E1024" s="75"/>
      <c r="F1024" s="75"/>
      <c r="G1024" s="75"/>
    </row>
    <row r="1025" spans="1:7" ht="16.5" customHeight="1" x14ac:dyDescent="0.25">
      <c r="A1025" s="22"/>
      <c r="B1025" s="75"/>
      <c r="C1025" s="75"/>
      <c r="D1025" s="75"/>
      <c r="E1025" s="75"/>
      <c r="F1025" s="75"/>
      <c r="G1025" s="75"/>
    </row>
    <row r="1026" spans="1:7" ht="16.5" customHeight="1" x14ac:dyDescent="0.25">
      <c r="A1026" s="22"/>
      <c r="B1026" s="75"/>
      <c r="C1026" s="75"/>
      <c r="D1026" s="75"/>
      <c r="E1026" s="75"/>
      <c r="F1026" s="75"/>
      <c r="G1026" s="75"/>
    </row>
    <row r="1027" spans="1:7" ht="16.5" customHeight="1" x14ac:dyDescent="0.25">
      <c r="A1027" s="22"/>
      <c r="B1027" s="75"/>
      <c r="C1027" s="75"/>
      <c r="D1027" s="75"/>
      <c r="E1027" s="75"/>
      <c r="F1027" s="75"/>
      <c r="G1027" s="75"/>
    </row>
    <row r="1028" spans="1:7" ht="16.5" customHeight="1" x14ac:dyDescent="0.25">
      <c r="A1028" s="22"/>
      <c r="B1028" s="75"/>
      <c r="C1028" s="75"/>
      <c r="D1028" s="75"/>
      <c r="E1028" s="75"/>
      <c r="F1028" s="75"/>
      <c r="G1028" s="75"/>
    </row>
    <row r="1029" spans="1:7" ht="16.5" customHeight="1" x14ac:dyDescent="0.25">
      <c r="A1029" s="22"/>
      <c r="B1029" s="75"/>
      <c r="C1029" s="75"/>
      <c r="D1029" s="75"/>
      <c r="E1029" s="75"/>
      <c r="F1029" s="75"/>
      <c r="G1029" s="75"/>
    </row>
    <row r="1030" spans="1:7" ht="16.5" customHeight="1" x14ac:dyDescent="0.25">
      <c r="A1030" s="22"/>
      <c r="B1030" s="75"/>
      <c r="C1030" s="75"/>
      <c r="D1030" s="75"/>
      <c r="E1030" s="75"/>
      <c r="F1030" s="75"/>
      <c r="G1030" s="75"/>
    </row>
    <row r="1031" spans="1:7" ht="16.5" customHeight="1" x14ac:dyDescent="0.25">
      <c r="A1031" s="22"/>
      <c r="B1031" s="75"/>
      <c r="C1031" s="75"/>
      <c r="D1031" s="75"/>
      <c r="E1031" s="75"/>
      <c r="F1031" s="75"/>
      <c r="G1031" s="75"/>
    </row>
    <row r="1032" spans="1:7" ht="16.5" customHeight="1" x14ac:dyDescent="0.25">
      <c r="A1032" s="22"/>
      <c r="B1032" s="75"/>
      <c r="C1032" s="75"/>
      <c r="D1032" s="75"/>
      <c r="E1032" s="75"/>
      <c r="F1032" s="75"/>
      <c r="G1032" s="75"/>
    </row>
    <row r="1033" spans="1:7" ht="16.5" customHeight="1" x14ac:dyDescent="0.25">
      <c r="A1033" s="22"/>
      <c r="B1033" s="75"/>
      <c r="C1033" s="75"/>
      <c r="D1033" s="75"/>
      <c r="E1033" s="75"/>
      <c r="F1033" s="75"/>
      <c r="G1033" s="75"/>
    </row>
    <row r="1034" spans="1:7" ht="16.5" customHeight="1" x14ac:dyDescent="0.25">
      <c r="A1034" s="22"/>
      <c r="B1034" s="75"/>
      <c r="C1034" s="75"/>
      <c r="D1034" s="75"/>
      <c r="E1034" s="75"/>
      <c r="F1034" s="75"/>
      <c r="G1034" s="75"/>
    </row>
    <row r="1035" spans="1:7" ht="16.5" customHeight="1" x14ac:dyDescent="0.25">
      <c r="A1035" s="22"/>
      <c r="B1035" s="75"/>
      <c r="C1035" s="75"/>
      <c r="D1035" s="75"/>
      <c r="E1035" s="75"/>
      <c r="F1035" s="75"/>
      <c r="G1035" s="75"/>
    </row>
    <row r="1036" spans="1:7" ht="16.5" customHeight="1" x14ac:dyDescent="0.25">
      <c r="A1036" s="22"/>
      <c r="B1036" s="75"/>
      <c r="C1036" s="75"/>
      <c r="D1036" s="75"/>
      <c r="E1036" s="75"/>
      <c r="F1036" s="75"/>
      <c r="G1036" s="75"/>
    </row>
    <row r="1037" spans="1:7" ht="16.5" customHeight="1" x14ac:dyDescent="0.25">
      <c r="A1037" s="22"/>
      <c r="B1037" s="75"/>
      <c r="C1037" s="75"/>
      <c r="D1037" s="75"/>
      <c r="E1037" s="75"/>
      <c r="F1037" s="75"/>
      <c r="G1037" s="75"/>
    </row>
    <row r="1038" spans="1:7" ht="16.5" customHeight="1" x14ac:dyDescent="0.25">
      <c r="A1038" s="22"/>
      <c r="B1038" s="75"/>
      <c r="C1038" s="75"/>
      <c r="D1038" s="75"/>
      <c r="E1038" s="75"/>
      <c r="F1038" s="75"/>
      <c r="G1038" s="75"/>
    </row>
    <row r="1039" spans="1:7" ht="16.5" customHeight="1" x14ac:dyDescent="0.25">
      <c r="A1039" s="22"/>
      <c r="B1039" s="75"/>
      <c r="C1039" s="75"/>
      <c r="D1039" s="75"/>
      <c r="E1039" s="75"/>
      <c r="F1039" s="75"/>
      <c r="G1039" s="75"/>
    </row>
    <row r="1040" spans="1:7" ht="16.5" customHeight="1" x14ac:dyDescent="0.25">
      <c r="A1040" s="22"/>
      <c r="B1040" s="75"/>
      <c r="C1040" s="75"/>
      <c r="D1040" s="75"/>
      <c r="E1040" s="75"/>
      <c r="F1040" s="75"/>
      <c r="G1040" s="75"/>
    </row>
    <row r="1041" spans="1:7" ht="16.5" customHeight="1" x14ac:dyDescent="0.25">
      <c r="A1041" s="22"/>
      <c r="B1041" s="75"/>
      <c r="C1041" s="75"/>
      <c r="D1041" s="75"/>
      <c r="E1041" s="75"/>
      <c r="F1041" s="75"/>
      <c r="G1041" s="75"/>
    </row>
    <row r="1042" spans="1:7" ht="16.5" customHeight="1" x14ac:dyDescent="0.25">
      <c r="A1042" s="22"/>
      <c r="B1042" s="75"/>
      <c r="C1042" s="75"/>
      <c r="D1042" s="75"/>
      <c r="E1042" s="75"/>
      <c r="F1042" s="75"/>
      <c r="G1042" s="75"/>
    </row>
    <row r="1043" spans="1:7" ht="16.5" customHeight="1" x14ac:dyDescent="0.25">
      <c r="A1043" s="22"/>
      <c r="B1043" s="75"/>
      <c r="C1043" s="75"/>
      <c r="D1043" s="75"/>
      <c r="E1043" s="75"/>
      <c r="F1043" s="75"/>
      <c r="G1043" s="75"/>
    </row>
    <row r="1044" spans="1:7" ht="16.5" customHeight="1" x14ac:dyDescent="0.25">
      <c r="A1044" s="22"/>
      <c r="B1044" s="75"/>
      <c r="C1044" s="75"/>
      <c r="D1044" s="75"/>
      <c r="E1044" s="75"/>
      <c r="F1044" s="75"/>
      <c r="G1044" s="75"/>
    </row>
    <row r="1045" spans="1:7" ht="16.5" customHeight="1" x14ac:dyDescent="0.25">
      <c r="A1045" s="22"/>
      <c r="B1045" s="75"/>
      <c r="C1045" s="75"/>
      <c r="D1045" s="75"/>
      <c r="E1045" s="75"/>
      <c r="F1045" s="75"/>
      <c r="G1045" s="75"/>
    </row>
    <row r="1046" spans="1:7" ht="16.5" customHeight="1" x14ac:dyDescent="0.25">
      <c r="A1046" s="22"/>
      <c r="B1046" s="75"/>
      <c r="C1046" s="75"/>
      <c r="D1046" s="75"/>
      <c r="E1046" s="75"/>
      <c r="F1046" s="75"/>
      <c r="G1046" s="75"/>
    </row>
    <row r="1047" spans="1:7" ht="16.5" customHeight="1" x14ac:dyDescent="0.25">
      <c r="A1047" s="22"/>
      <c r="B1047" s="75"/>
      <c r="C1047" s="75"/>
      <c r="D1047" s="75"/>
      <c r="E1047" s="75"/>
      <c r="F1047" s="75"/>
      <c r="G1047" s="75"/>
    </row>
    <row r="1048" spans="1:7" ht="16.5" customHeight="1" x14ac:dyDescent="0.25">
      <c r="A1048" s="22"/>
      <c r="B1048" s="75"/>
      <c r="C1048" s="75"/>
      <c r="D1048" s="75"/>
      <c r="E1048" s="75"/>
      <c r="F1048" s="75"/>
      <c r="G1048" s="75"/>
    </row>
    <row r="1049" spans="1:7" ht="16.5" customHeight="1" x14ac:dyDescent="0.25">
      <c r="A1049" s="22"/>
      <c r="B1049" s="75"/>
      <c r="C1049" s="75"/>
      <c r="D1049" s="75"/>
      <c r="E1049" s="75"/>
      <c r="F1049" s="75"/>
      <c r="G1049" s="75"/>
    </row>
    <row r="1050" spans="1:7" ht="16.5" customHeight="1" x14ac:dyDescent="0.25">
      <c r="A1050" s="22"/>
      <c r="B1050" s="75"/>
      <c r="C1050" s="75"/>
      <c r="D1050" s="75"/>
      <c r="E1050" s="75"/>
      <c r="F1050" s="75"/>
      <c r="G1050" s="75"/>
    </row>
    <row r="1051" spans="1:7" ht="16.5" customHeight="1" x14ac:dyDescent="0.25">
      <c r="A1051" s="22"/>
      <c r="B1051" s="75"/>
      <c r="C1051" s="75"/>
      <c r="D1051" s="75"/>
      <c r="E1051" s="75"/>
      <c r="F1051" s="75"/>
      <c r="G1051" s="75"/>
    </row>
    <row r="1052" spans="1:7" ht="16.5" customHeight="1" x14ac:dyDescent="0.25">
      <c r="A1052" s="22"/>
      <c r="B1052" s="75"/>
      <c r="C1052" s="75"/>
      <c r="D1052" s="75"/>
      <c r="E1052" s="75"/>
      <c r="F1052" s="75"/>
      <c r="G1052" s="75"/>
    </row>
    <row r="1053" spans="1:7" ht="16.5" customHeight="1" x14ac:dyDescent="0.25">
      <c r="A1053" s="22"/>
      <c r="B1053" s="75"/>
      <c r="C1053" s="75"/>
      <c r="D1053" s="75"/>
      <c r="E1053" s="75"/>
      <c r="F1053" s="75"/>
      <c r="G1053" s="75"/>
    </row>
    <row r="1054" spans="1:7" ht="16.5" customHeight="1" x14ac:dyDescent="0.25">
      <c r="A1054" s="22"/>
      <c r="B1054" s="75"/>
      <c r="C1054" s="75"/>
      <c r="D1054" s="75"/>
      <c r="E1054" s="75"/>
      <c r="F1054" s="75"/>
      <c r="G1054" s="75"/>
    </row>
    <row r="1055" spans="1:7" ht="16.5" customHeight="1" x14ac:dyDescent="0.25">
      <c r="A1055" s="22"/>
      <c r="B1055" s="75"/>
      <c r="C1055" s="75"/>
      <c r="D1055" s="75"/>
      <c r="E1055" s="75"/>
      <c r="F1055" s="75"/>
      <c r="G1055" s="75"/>
    </row>
    <row r="1056" spans="1:7" ht="16.5" customHeight="1" x14ac:dyDescent="0.25">
      <c r="A1056" s="22"/>
      <c r="B1056" s="75"/>
      <c r="C1056" s="75"/>
      <c r="D1056" s="75"/>
      <c r="E1056" s="75"/>
      <c r="F1056" s="75"/>
      <c r="G1056" s="75"/>
    </row>
    <row r="1057" spans="1:7" ht="16.5" customHeight="1" x14ac:dyDescent="0.25">
      <c r="A1057" s="22"/>
      <c r="B1057" s="75"/>
      <c r="C1057" s="75"/>
      <c r="D1057" s="75"/>
      <c r="E1057" s="75"/>
      <c r="F1057" s="75"/>
      <c r="G1057" s="75"/>
    </row>
    <row r="1058" spans="1:7" ht="16.5" customHeight="1" x14ac:dyDescent="0.25">
      <c r="A1058" s="22"/>
      <c r="B1058" s="75"/>
      <c r="C1058" s="75"/>
      <c r="D1058" s="75"/>
      <c r="E1058" s="75"/>
      <c r="F1058" s="75"/>
      <c r="G1058" s="75"/>
    </row>
    <row r="1059" spans="1:7" ht="16.5" customHeight="1" x14ac:dyDescent="0.25">
      <c r="A1059" s="22"/>
      <c r="B1059" s="75"/>
      <c r="C1059" s="75"/>
      <c r="D1059" s="75"/>
      <c r="E1059" s="75"/>
      <c r="F1059" s="75"/>
      <c r="G1059" s="75"/>
    </row>
    <row r="1060" spans="1:7" ht="16.5" customHeight="1" x14ac:dyDescent="0.25">
      <c r="A1060" s="22"/>
      <c r="B1060" s="75"/>
      <c r="C1060" s="75"/>
      <c r="D1060" s="75"/>
      <c r="E1060" s="75"/>
      <c r="F1060" s="75"/>
      <c r="G1060" s="75"/>
    </row>
    <row r="1061" spans="1:7" ht="16.5" customHeight="1" x14ac:dyDescent="0.25">
      <c r="A1061" s="22"/>
      <c r="B1061" s="75"/>
      <c r="C1061" s="75"/>
      <c r="D1061" s="75"/>
      <c r="E1061" s="75"/>
      <c r="F1061" s="75"/>
      <c r="G1061" s="75"/>
    </row>
    <row r="1062" spans="1:7" ht="16.5" customHeight="1" x14ac:dyDescent="0.25">
      <c r="A1062" s="22"/>
      <c r="B1062" s="75"/>
      <c r="C1062" s="75"/>
      <c r="D1062" s="75"/>
      <c r="E1062" s="75"/>
      <c r="F1062" s="75"/>
      <c r="G1062" s="75"/>
    </row>
    <row r="1063" spans="1:7" ht="16.5" customHeight="1" x14ac:dyDescent="0.25">
      <c r="A1063" s="22"/>
      <c r="B1063" s="75"/>
      <c r="C1063" s="75"/>
      <c r="D1063" s="75"/>
      <c r="E1063" s="75"/>
      <c r="F1063" s="75"/>
      <c r="G1063" s="75"/>
    </row>
    <row r="1064" spans="1:7" ht="16.5" customHeight="1" x14ac:dyDescent="0.25">
      <c r="A1064" s="22"/>
      <c r="B1064" s="75"/>
      <c r="C1064" s="75"/>
      <c r="D1064" s="75"/>
      <c r="E1064" s="75"/>
      <c r="F1064" s="75"/>
      <c r="G1064" s="75"/>
    </row>
    <row r="1065" spans="1:7" ht="16.5" customHeight="1" x14ac:dyDescent="0.25">
      <c r="A1065" s="22"/>
      <c r="B1065" s="75"/>
      <c r="C1065" s="75"/>
      <c r="D1065" s="75"/>
      <c r="E1065" s="75"/>
      <c r="F1065" s="75"/>
      <c r="G1065" s="75"/>
    </row>
    <row r="1066" spans="1:7" ht="16.5" customHeight="1" x14ac:dyDescent="0.25">
      <c r="A1066" s="22"/>
      <c r="B1066" s="75"/>
      <c r="C1066" s="75"/>
      <c r="D1066" s="75"/>
      <c r="E1066" s="75"/>
      <c r="F1066" s="75"/>
      <c r="G1066" s="75"/>
    </row>
    <row r="1067" spans="1:7" ht="16.5" customHeight="1" x14ac:dyDescent="0.25">
      <c r="A1067" s="22"/>
      <c r="B1067" s="75"/>
      <c r="C1067" s="75"/>
      <c r="D1067" s="75"/>
      <c r="E1067" s="75"/>
      <c r="F1067" s="75"/>
      <c r="G1067" s="75"/>
    </row>
    <row r="1068" spans="1:7" ht="16.5" customHeight="1" x14ac:dyDescent="0.25">
      <c r="A1068" s="22"/>
      <c r="B1068" s="75"/>
      <c r="C1068" s="75"/>
      <c r="D1068" s="75"/>
      <c r="E1068" s="75"/>
      <c r="F1068" s="75"/>
      <c r="G1068" s="75"/>
    </row>
    <row r="1069" spans="1:7" ht="16.5" customHeight="1" x14ac:dyDescent="0.25">
      <c r="A1069" s="22"/>
      <c r="B1069" s="75"/>
      <c r="C1069" s="75"/>
      <c r="D1069" s="75"/>
      <c r="E1069" s="75"/>
      <c r="F1069" s="75"/>
      <c r="G1069" s="75"/>
    </row>
    <row r="1070" spans="1:7" ht="16.5" customHeight="1" x14ac:dyDescent="0.25">
      <c r="A1070" s="22"/>
      <c r="B1070" s="75"/>
      <c r="C1070" s="75"/>
      <c r="D1070" s="75"/>
      <c r="E1070" s="75"/>
      <c r="F1070" s="75"/>
      <c r="G1070" s="75"/>
    </row>
    <row r="1071" spans="1:7" ht="16.5" customHeight="1" x14ac:dyDescent="0.25">
      <c r="A1071" s="22"/>
      <c r="B1071" s="75"/>
      <c r="C1071" s="75"/>
      <c r="D1071" s="75"/>
      <c r="E1071" s="75"/>
      <c r="F1071" s="75"/>
      <c r="G1071" s="75"/>
    </row>
    <row r="1072" spans="1:7" ht="16.5" customHeight="1" x14ac:dyDescent="0.25">
      <c r="A1072" s="22"/>
      <c r="B1072" s="75"/>
      <c r="C1072" s="75"/>
      <c r="D1072" s="75"/>
      <c r="E1072" s="75"/>
      <c r="F1072" s="75"/>
      <c r="G1072" s="75"/>
    </row>
    <row r="1073" spans="1:7" ht="16.5" customHeight="1" x14ac:dyDescent="0.25">
      <c r="A1073" s="22"/>
      <c r="B1073" s="75"/>
      <c r="C1073" s="75"/>
      <c r="D1073" s="75"/>
      <c r="E1073" s="75"/>
      <c r="F1073" s="75"/>
      <c r="G1073" s="75"/>
    </row>
    <row r="1074" spans="1:7" ht="16.5" customHeight="1" x14ac:dyDescent="0.25">
      <c r="A1074" s="22"/>
      <c r="B1074" s="75"/>
      <c r="C1074" s="75"/>
      <c r="D1074" s="75"/>
      <c r="E1074" s="75"/>
      <c r="F1074" s="75"/>
      <c r="G1074" s="75"/>
    </row>
    <row r="1075" spans="1:7" ht="16.5" customHeight="1" x14ac:dyDescent="0.25">
      <c r="A1075" s="22"/>
      <c r="B1075" s="75"/>
      <c r="C1075" s="75"/>
      <c r="D1075" s="75"/>
      <c r="E1075" s="75"/>
      <c r="F1075" s="75"/>
      <c r="G1075" s="75"/>
    </row>
    <row r="1076" spans="1:7" ht="16.5" customHeight="1" x14ac:dyDescent="0.25">
      <c r="A1076" s="22"/>
      <c r="B1076" s="75"/>
      <c r="C1076" s="75"/>
      <c r="D1076" s="75"/>
      <c r="E1076" s="75"/>
      <c r="F1076" s="75"/>
      <c r="G1076" s="75"/>
    </row>
    <row r="1077" spans="1:7" ht="16.5" customHeight="1" x14ac:dyDescent="0.25">
      <c r="A1077" s="22"/>
      <c r="B1077" s="75"/>
      <c r="C1077" s="75"/>
      <c r="D1077" s="75"/>
      <c r="E1077" s="75"/>
      <c r="F1077" s="75"/>
      <c r="G1077" s="75"/>
    </row>
    <row r="1078" spans="1:7" ht="16.5" customHeight="1" x14ac:dyDescent="0.25">
      <c r="A1078" s="22"/>
      <c r="B1078" s="75"/>
      <c r="C1078" s="75"/>
      <c r="D1078" s="75"/>
      <c r="E1078" s="75"/>
      <c r="F1078" s="75"/>
      <c r="G1078" s="75"/>
    </row>
    <row r="1079" spans="1:7" ht="16.5" customHeight="1" x14ac:dyDescent="0.25">
      <c r="A1079" s="22"/>
      <c r="B1079" s="75"/>
      <c r="C1079" s="75"/>
      <c r="D1079" s="75"/>
      <c r="E1079" s="75"/>
      <c r="F1079" s="75"/>
      <c r="G1079" s="75"/>
    </row>
    <row r="1080" spans="1:7" ht="16.5" customHeight="1" x14ac:dyDescent="0.25">
      <c r="A1080" s="22"/>
      <c r="B1080" s="75"/>
      <c r="C1080" s="75"/>
      <c r="D1080" s="75"/>
      <c r="E1080" s="75"/>
      <c r="F1080" s="75"/>
      <c r="G1080" s="75"/>
    </row>
    <row r="1081" spans="1:7" ht="16.5" customHeight="1" x14ac:dyDescent="0.25">
      <c r="A1081" s="22"/>
      <c r="B1081" s="75"/>
      <c r="C1081" s="75"/>
      <c r="D1081" s="75"/>
      <c r="E1081" s="75"/>
      <c r="F1081" s="75"/>
      <c r="G1081" s="75"/>
    </row>
    <row r="1082" spans="1:7" ht="16.5" customHeight="1" x14ac:dyDescent="0.25">
      <c r="A1082" s="22"/>
      <c r="B1082" s="75"/>
      <c r="C1082" s="75"/>
      <c r="D1082" s="75"/>
      <c r="E1082" s="75"/>
      <c r="F1082" s="75"/>
      <c r="G1082" s="75"/>
    </row>
    <row r="1083" spans="1:7" ht="16.5" customHeight="1" x14ac:dyDescent="0.25">
      <c r="A1083" s="22"/>
      <c r="B1083" s="75"/>
      <c r="C1083" s="75"/>
      <c r="D1083" s="75"/>
      <c r="E1083" s="75"/>
      <c r="F1083" s="75"/>
      <c r="G1083" s="75"/>
    </row>
    <row r="1084" spans="1:7" ht="16.5" customHeight="1" x14ac:dyDescent="0.25">
      <c r="A1084" s="22"/>
      <c r="B1084" s="75"/>
      <c r="C1084" s="75"/>
      <c r="D1084" s="75"/>
      <c r="E1084" s="75"/>
      <c r="F1084" s="75"/>
      <c r="G1084" s="75"/>
    </row>
    <row r="1085" spans="1:7" ht="16.5" customHeight="1" x14ac:dyDescent="0.25">
      <c r="A1085" s="22"/>
      <c r="B1085" s="75"/>
      <c r="C1085" s="75"/>
      <c r="D1085" s="75"/>
      <c r="E1085" s="75"/>
      <c r="F1085" s="75"/>
      <c r="G1085" s="75"/>
    </row>
    <row r="1086" spans="1:7" ht="16.5" customHeight="1" x14ac:dyDescent="0.25">
      <c r="A1086" s="22"/>
      <c r="B1086" s="75"/>
      <c r="C1086" s="75"/>
      <c r="D1086" s="75"/>
      <c r="E1086" s="75"/>
      <c r="F1086" s="75"/>
      <c r="G1086" s="75"/>
    </row>
    <row r="1087" spans="1:7" ht="16.5" customHeight="1" x14ac:dyDescent="0.25">
      <c r="A1087" s="22"/>
      <c r="B1087" s="75"/>
      <c r="C1087" s="75"/>
      <c r="D1087" s="75"/>
      <c r="E1087" s="75"/>
      <c r="F1087" s="75"/>
      <c r="G1087" s="75"/>
    </row>
    <row r="1088" spans="1:7" ht="16.5" customHeight="1" x14ac:dyDescent="0.25">
      <c r="A1088" s="22"/>
      <c r="B1088" s="75"/>
      <c r="C1088" s="75"/>
      <c r="D1088" s="75"/>
      <c r="E1088" s="75"/>
      <c r="F1088" s="75"/>
      <c r="G1088" s="75"/>
    </row>
    <row r="1089" spans="1:7" ht="16.5" customHeight="1" x14ac:dyDescent="0.25">
      <c r="A1089" s="22"/>
      <c r="B1089" s="75"/>
      <c r="C1089" s="75"/>
      <c r="D1089" s="75"/>
      <c r="E1089" s="75"/>
      <c r="F1089" s="75"/>
      <c r="G1089" s="75"/>
    </row>
    <row r="1090" spans="1:7" ht="16.5" customHeight="1" x14ac:dyDescent="0.25">
      <c r="A1090" s="22"/>
      <c r="B1090" s="75"/>
      <c r="C1090" s="75"/>
      <c r="D1090" s="75"/>
      <c r="E1090" s="75"/>
      <c r="F1090" s="75"/>
      <c r="G1090" s="75"/>
    </row>
    <row r="1091" spans="1:7" ht="16.5" customHeight="1" x14ac:dyDescent="0.25">
      <c r="A1091" s="22"/>
      <c r="B1091" s="75"/>
      <c r="C1091" s="75"/>
      <c r="D1091" s="75"/>
      <c r="E1091" s="75"/>
      <c r="F1091" s="75"/>
      <c r="G1091" s="75"/>
    </row>
    <row r="1092" spans="1:7" ht="16.5" customHeight="1" x14ac:dyDescent="0.25">
      <c r="A1092" s="22"/>
      <c r="B1092" s="75"/>
      <c r="C1092" s="75"/>
      <c r="D1092" s="75"/>
      <c r="E1092" s="75"/>
      <c r="F1092" s="75"/>
      <c r="G1092" s="75"/>
    </row>
    <row r="1093" spans="1:7" ht="16.5" customHeight="1" x14ac:dyDescent="0.25">
      <c r="A1093" s="22"/>
      <c r="B1093" s="75"/>
      <c r="C1093" s="75"/>
      <c r="D1093" s="75"/>
      <c r="E1093" s="75"/>
      <c r="F1093" s="75"/>
      <c r="G1093" s="75"/>
    </row>
    <row r="1094" spans="1:7" ht="16.5" customHeight="1" x14ac:dyDescent="0.25">
      <c r="A1094" s="22"/>
      <c r="B1094" s="75"/>
      <c r="C1094" s="75"/>
      <c r="D1094" s="75"/>
      <c r="E1094" s="75"/>
      <c r="F1094" s="75"/>
      <c r="G1094" s="75"/>
    </row>
    <row r="1095" spans="1:7" ht="16.5" customHeight="1" x14ac:dyDescent="0.25">
      <c r="A1095" s="22"/>
      <c r="B1095" s="75"/>
      <c r="C1095" s="75"/>
      <c r="D1095" s="75"/>
      <c r="E1095" s="75"/>
      <c r="F1095" s="75"/>
      <c r="G1095" s="75"/>
    </row>
    <row r="1096" spans="1:7" ht="16.5" customHeight="1" x14ac:dyDescent="0.25">
      <c r="A1096" s="22"/>
      <c r="B1096" s="75"/>
      <c r="C1096" s="75"/>
      <c r="D1096" s="75"/>
      <c r="E1096" s="75"/>
      <c r="F1096" s="75"/>
      <c r="G1096" s="75"/>
    </row>
    <row r="1097" spans="1:7" ht="16.5" customHeight="1" x14ac:dyDescent="0.25">
      <c r="A1097" s="22"/>
      <c r="B1097" s="75"/>
      <c r="C1097" s="75"/>
      <c r="D1097" s="75"/>
      <c r="E1097" s="75"/>
      <c r="F1097" s="75"/>
      <c r="G1097" s="75"/>
    </row>
    <row r="1098" spans="1:7" ht="16.5" customHeight="1" x14ac:dyDescent="0.25">
      <c r="A1098" s="22"/>
      <c r="B1098" s="75"/>
      <c r="C1098" s="75"/>
      <c r="D1098" s="75"/>
      <c r="E1098" s="75"/>
      <c r="F1098" s="75"/>
      <c r="G1098" s="75"/>
    </row>
    <row r="1099" spans="1:7" ht="16.5" customHeight="1" x14ac:dyDescent="0.25">
      <c r="A1099" s="22"/>
      <c r="B1099" s="75"/>
      <c r="C1099" s="75"/>
      <c r="D1099" s="75"/>
      <c r="E1099" s="75"/>
      <c r="F1099" s="75"/>
      <c r="G1099" s="75"/>
    </row>
    <row r="1100" spans="1:7" ht="16.5" customHeight="1" x14ac:dyDescent="0.25">
      <c r="A1100" s="22"/>
      <c r="B1100" s="75"/>
      <c r="C1100" s="75"/>
      <c r="D1100" s="75"/>
      <c r="E1100" s="75"/>
      <c r="F1100" s="75"/>
      <c r="G1100" s="75"/>
    </row>
    <row r="1101" spans="1:7" ht="16.5" customHeight="1" x14ac:dyDescent="0.25">
      <c r="A1101" s="22"/>
      <c r="B1101" s="75"/>
      <c r="C1101" s="75"/>
      <c r="D1101" s="75"/>
      <c r="E1101" s="75"/>
      <c r="F1101" s="75"/>
      <c r="G1101" s="75"/>
    </row>
    <row r="1102" spans="1:7" ht="16.5" customHeight="1" x14ac:dyDescent="0.25">
      <c r="A1102" s="22"/>
      <c r="B1102" s="75"/>
      <c r="C1102" s="75"/>
      <c r="D1102" s="75"/>
      <c r="E1102" s="75"/>
      <c r="F1102" s="75"/>
      <c r="G1102" s="75"/>
    </row>
    <row r="1103" spans="1:7" ht="16.5" customHeight="1" x14ac:dyDescent="0.25">
      <c r="A1103" s="22"/>
      <c r="B1103" s="75"/>
      <c r="C1103" s="75"/>
      <c r="D1103" s="75"/>
      <c r="E1103" s="75"/>
      <c r="F1103" s="75"/>
      <c r="G1103" s="75"/>
    </row>
    <row r="1104" spans="1:7" ht="16.5" customHeight="1" x14ac:dyDescent="0.25">
      <c r="A1104" s="22"/>
      <c r="B1104" s="75"/>
      <c r="C1104" s="75"/>
      <c r="D1104" s="75"/>
      <c r="E1104" s="75"/>
      <c r="F1104" s="75"/>
      <c r="G1104" s="75"/>
    </row>
    <row r="1105" spans="1:7" ht="16.5" customHeight="1" x14ac:dyDescent="0.25">
      <c r="A1105" s="22"/>
      <c r="B1105" s="75"/>
      <c r="C1105" s="75"/>
      <c r="D1105" s="75"/>
      <c r="E1105" s="75"/>
      <c r="F1105" s="75"/>
      <c r="G1105" s="75"/>
    </row>
    <row r="1106" spans="1:7" ht="16.5" customHeight="1" x14ac:dyDescent="0.25">
      <c r="A1106" s="22"/>
      <c r="B1106" s="75"/>
      <c r="C1106" s="75"/>
      <c r="D1106" s="75"/>
      <c r="E1106" s="75"/>
      <c r="F1106" s="75"/>
      <c r="G1106" s="75"/>
    </row>
    <row r="1107" spans="1:7" ht="16.5" customHeight="1" x14ac:dyDescent="0.25">
      <c r="A1107" s="22"/>
      <c r="B1107" s="75"/>
      <c r="C1107" s="75"/>
      <c r="D1107" s="75"/>
      <c r="E1107" s="75"/>
      <c r="F1107" s="75"/>
      <c r="G1107" s="75"/>
    </row>
    <row r="1108" spans="1:7" ht="16.5" customHeight="1" x14ac:dyDescent="0.25">
      <c r="A1108" s="22"/>
      <c r="B1108" s="75"/>
      <c r="C1108" s="75"/>
      <c r="D1108" s="75"/>
      <c r="E1108" s="75"/>
      <c r="F1108" s="75"/>
      <c r="G1108" s="75"/>
    </row>
    <row r="1109" spans="1:7" ht="16.5" customHeight="1" x14ac:dyDescent="0.25">
      <c r="A1109" s="22"/>
      <c r="B1109" s="75"/>
      <c r="C1109" s="75"/>
      <c r="D1109" s="75"/>
      <c r="E1109" s="75"/>
      <c r="F1109" s="75"/>
      <c r="G1109" s="75"/>
    </row>
    <row r="1110" spans="1:7" ht="16.5" customHeight="1" x14ac:dyDescent="0.25">
      <c r="A1110" s="22"/>
      <c r="B1110" s="75"/>
      <c r="C1110" s="75"/>
      <c r="D1110" s="75"/>
      <c r="E1110" s="75"/>
      <c r="F1110" s="75"/>
      <c r="G1110" s="75"/>
    </row>
    <row r="1111" spans="1:7" ht="16.5" customHeight="1" x14ac:dyDescent="0.25">
      <c r="A1111" s="22"/>
      <c r="B1111" s="75"/>
      <c r="C1111" s="75"/>
      <c r="D1111" s="75"/>
      <c r="E1111" s="75"/>
      <c r="F1111" s="75"/>
      <c r="G1111" s="75"/>
    </row>
    <row r="1112" spans="1:7" ht="16.5" customHeight="1" x14ac:dyDescent="0.25">
      <c r="A1112" s="22"/>
      <c r="B1112" s="75"/>
      <c r="C1112" s="75"/>
      <c r="D1112" s="75"/>
      <c r="E1112" s="75"/>
      <c r="F1112" s="75"/>
      <c r="G1112" s="75"/>
    </row>
    <row r="1113" spans="1:7" ht="16.5" customHeight="1" x14ac:dyDescent="0.25">
      <c r="A1113" s="22"/>
      <c r="B1113" s="75"/>
      <c r="C1113" s="75"/>
      <c r="D1113" s="75"/>
      <c r="E1113" s="75"/>
      <c r="F1113" s="75"/>
      <c r="G1113" s="75"/>
    </row>
    <row r="1114" spans="1:7" ht="16.5" customHeight="1" x14ac:dyDescent="0.25">
      <c r="A1114" s="22"/>
      <c r="B1114" s="75"/>
      <c r="C1114" s="75"/>
      <c r="D1114" s="75"/>
      <c r="E1114" s="75"/>
      <c r="F1114" s="75"/>
      <c r="G1114" s="75"/>
    </row>
    <row r="1115" spans="1:7" ht="16.5" customHeight="1" x14ac:dyDescent="0.25">
      <c r="A1115" s="22"/>
      <c r="B1115" s="75"/>
      <c r="C1115" s="75"/>
      <c r="D1115" s="75"/>
      <c r="E1115" s="75"/>
      <c r="F1115" s="75"/>
      <c r="G1115" s="75"/>
    </row>
    <row r="1116" spans="1:7" ht="16.5" customHeight="1" x14ac:dyDescent="0.25">
      <c r="A1116" s="22"/>
      <c r="B1116" s="75"/>
      <c r="C1116" s="75"/>
      <c r="D1116" s="75"/>
      <c r="E1116" s="75"/>
      <c r="F1116" s="75"/>
      <c r="G1116" s="75"/>
    </row>
    <row r="1117" spans="1:7" ht="16.5" customHeight="1" x14ac:dyDescent="0.25">
      <c r="A1117" s="22"/>
      <c r="B1117" s="75"/>
      <c r="C1117" s="75"/>
      <c r="D1117" s="75"/>
      <c r="E1117" s="75"/>
      <c r="F1117" s="75"/>
      <c r="G1117" s="75"/>
    </row>
    <row r="1118" spans="1:7" ht="16.5" customHeight="1" x14ac:dyDescent="0.25">
      <c r="A1118" s="22"/>
      <c r="B1118" s="75"/>
      <c r="C1118" s="75"/>
      <c r="D1118" s="75"/>
      <c r="E1118" s="75"/>
      <c r="F1118" s="75"/>
      <c r="G1118" s="75"/>
    </row>
    <row r="1119" spans="1:7" ht="16.5" customHeight="1" x14ac:dyDescent="0.25">
      <c r="A1119" s="22"/>
      <c r="B1119" s="75"/>
      <c r="C1119" s="75"/>
      <c r="D1119" s="75"/>
      <c r="E1119" s="75"/>
      <c r="F1119" s="75"/>
      <c r="G1119" s="75"/>
    </row>
    <row r="1120" spans="1:7" ht="16.5" customHeight="1" x14ac:dyDescent="0.25">
      <c r="A1120" s="22"/>
      <c r="B1120" s="75"/>
      <c r="C1120" s="75"/>
      <c r="D1120" s="75"/>
      <c r="E1120" s="75"/>
      <c r="F1120" s="75"/>
      <c r="G1120" s="75"/>
    </row>
    <row r="1121" spans="1:7" ht="16.5" customHeight="1" x14ac:dyDescent="0.25">
      <c r="A1121" s="22"/>
      <c r="B1121" s="75"/>
      <c r="C1121" s="75"/>
      <c r="D1121" s="75"/>
      <c r="E1121" s="75"/>
      <c r="F1121" s="75"/>
      <c r="G1121" s="75"/>
    </row>
    <row r="1122" spans="1:7" ht="16.5" customHeight="1" x14ac:dyDescent="0.25">
      <c r="A1122" s="22"/>
      <c r="B1122" s="75"/>
      <c r="C1122" s="75"/>
      <c r="D1122" s="75"/>
      <c r="E1122" s="75"/>
      <c r="F1122" s="75"/>
      <c r="G1122" s="75"/>
    </row>
    <row r="1123" spans="1:7" ht="16.5" customHeight="1" x14ac:dyDescent="0.25">
      <c r="A1123" s="22"/>
      <c r="B1123" s="75"/>
      <c r="C1123" s="75"/>
      <c r="D1123" s="75"/>
      <c r="E1123" s="75"/>
      <c r="F1123" s="75"/>
      <c r="G1123" s="75"/>
    </row>
    <row r="1124" spans="1:7" ht="16.5" customHeight="1" x14ac:dyDescent="0.25">
      <c r="A1124" s="22"/>
      <c r="B1124" s="75"/>
      <c r="C1124" s="75"/>
      <c r="D1124" s="75"/>
      <c r="E1124" s="75"/>
      <c r="F1124" s="75"/>
      <c r="G1124" s="75"/>
    </row>
    <row r="1125" spans="1:7" ht="16.5" customHeight="1" x14ac:dyDescent="0.25">
      <c r="A1125" s="22"/>
      <c r="B1125" s="75"/>
      <c r="C1125" s="75"/>
      <c r="D1125" s="75"/>
      <c r="E1125" s="75"/>
      <c r="F1125" s="75"/>
      <c r="G1125" s="75"/>
    </row>
    <row r="1126" spans="1:7" ht="16.5" customHeight="1" x14ac:dyDescent="0.25">
      <c r="A1126" s="22"/>
      <c r="B1126" s="75"/>
      <c r="C1126" s="75"/>
      <c r="D1126" s="75"/>
      <c r="E1126" s="75"/>
      <c r="F1126" s="75"/>
      <c r="G1126" s="75"/>
    </row>
    <row r="1127" spans="1:7" ht="16.5" customHeight="1" x14ac:dyDescent="0.25">
      <c r="A1127" s="22"/>
      <c r="B1127" s="75"/>
      <c r="C1127" s="75"/>
      <c r="D1127" s="75"/>
      <c r="E1127" s="75"/>
      <c r="F1127" s="75"/>
      <c r="G1127" s="75"/>
    </row>
    <row r="1128" spans="1:7" ht="16.5" customHeight="1" x14ac:dyDescent="0.25">
      <c r="A1128" s="22"/>
      <c r="B1128" s="75"/>
      <c r="C1128" s="75"/>
      <c r="D1128" s="75"/>
      <c r="E1128" s="75"/>
      <c r="F1128" s="75"/>
      <c r="G1128" s="75"/>
    </row>
    <row r="1129" spans="1:7" ht="16.5" customHeight="1" x14ac:dyDescent="0.25">
      <c r="A1129" s="22"/>
      <c r="B1129" s="75"/>
      <c r="C1129" s="75"/>
      <c r="D1129" s="75"/>
      <c r="E1129" s="75"/>
      <c r="F1129" s="75"/>
      <c r="G1129" s="75"/>
    </row>
    <row r="1130" spans="1:7" ht="16.5" customHeight="1" x14ac:dyDescent="0.25">
      <c r="A1130" s="22"/>
      <c r="B1130" s="75"/>
      <c r="C1130" s="75"/>
      <c r="D1130" s="75"/>
      <c r="E1130" s="75"/>
      <c r="F1130" s="75"/>
      <c r="G1130" s="75"/>
    </row>
    <row r="1131" spans="1:7" ht="16.5" customHeight="1" x14ac:dyDescent="0.25">
      <c r="A1131" s="22"/>
      <c r="B1131" s="75"/>
      <c r="C1131" s="75"/>
      <c r="D1131" s="75"/>
      <c r="E1131" s="75"/>
      <c r="F1131" s="75"/>
      <c r="G1131" s="75"/>
    </row>
    <row r="1132" spans="1:7" ht="16.5" customHeight="1" x14ac:dyDescent="0.25">
      <c r="A1132" s="22"/>
      <c r="B1132" s="75"/>
      <c r="C1132" s="75"/>
      <c r="D1132" s="75"/>
      <c r="E1132" s="75"/>
      <c r="F1132" s="75"/>
      <c r="G1132" s="75"/>
    </row>
    <row r="1133" spans="1:7" ht="16.5" customHeight="1" x14ac:dyDescent="0.25">
      <c r="A1133" s="22"/>
      <c r="B1133" s="75"/>
      <c r="C1133" s="75"/>
      <c r="D1133" s="75"/>
      <c r="E1133" s="75"/>
      <c r="F1133" s="75"/>
      <c r="G1133" s="75"/>
    </row>
    <row r="1134" spans="1:7" ht="16.5" customHeight="1" x14ac:dyDescent="0.25">
      <c r="A1134" s="22"/>
      <c r="B1134" s="75"/>
      <c r="C1134" s="75"/>
      <c r="D1134" s="75"/>
      <c r="E1134" s="75"/>
      <c r="F1134" s="75"/>
      <c r="G1134" s="75"/>
    </row>
    <row r="1135" spans="1:7" ht="16.5" customHeight="1" x14ac:dyDescent="0.25">
      <c r="A1135" s="22"/>
      <c r="B1135" s="75"/>
      <c r="C1135" s="75"/>
      <c r="D1135" s="75"/>
      <c r="E1135" s="75"/>
      <c r="F1135" s="75"/>
      <c r="G1135" s="75"/>
    </row>
    <row r="1420" spans="1:7" ht="16.5" customHeight="1" x14ac:dyDescent="0.25">
      <c r="A1420" s="22"/>
      <c r="G1420" s="24"/>
    </row>
    <row r="1421" spans="1:7" ht="16.5" customHeight="1" x14ac:dyDescent="0.25">
      <c r="A1421" s="22"/>
    </row>
  </sheetData>
  <sortState ref="L154:S299">
    <sortCondition ref="S172"/>
  </sortState>
  <mergeCells count="9">
    <mergeCell ref="E946:G946"/>
    <mergeCell ref="E947:G947"/>
    <mergeCell ref="A8:G8"/>
    <mergeCell ref="A1:G1"/>
    <mergeCell ref="A2:G2"/>
    <mergeCell ref="A3:G3"/>
    <mergeCell ref="A5:G5"/>
    <mergeCell ref="A7:G7"/>
    <mergeCell ref="A4:G4"/>
  </mergeCells>
  <printOptions horizontalCentered="1"/>
  <pageMargins left="0.26" right="0.32" top="0.4" bottom="0.2" header="0.3" footer="0.2"/>
  <pageSetup scale="62" pageOrder="overThenDown" orientation="landscape" errors="NA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896"/>
  <sheetViews>
    <sheetView topLeftCell="A347" zoomScale="86" zoomScaleNormal="86" workbookViewId="0">
      <selection activeCell="C385" sqref="C385"/>
    </sheetView>
  </sheetViews>
  <sheetFormatPr baseColWidth="10" defaultRowHeight="16.5" customHeight="1" x14ac:dyDescent="0.25"/>
  <cols>
    <col min="1" max="1" width="14.7109375" style="75" customWidth="1"/>
    <col min="2" max="2" width="11.42578125" style="80" customWidth="1"/>
    <col min="3" max="3" width="43.5703125" style="80" customWidth="1"/>
    <col min="4" max="4" width="53" style="80" customWidth="1"/>
    <col min="5" max="5" width="22.42578125" style="80" customWidth="1"/>
    <col min="6" max="6" width="19.5703125" style="80" customWidth="1"/>
    <col min="7" max="7" width="24.140625" style="80" customWidth="1"/>
    <col min="8" max="8" width="16" style="80" customWidth="1"/>
    <col min="9" max="10" width="15.5703125" style="80" bestFit="1" customWidth="1"/>
    <col min="11" max="13" width="11.42578125" style="80"/>
    <col min="14" max="14" width="15.5703125" style="80" bestFit="1" customWidth="1"/>
    <col min="15" max="15" width="16.42578125" style="80" bestFit="1" customWidth="1"/>
    <col min="16" max="16384" width="11.42578125" style="80"/>
  </cols>
  <sheetData>
    <row r="1" spans="1:133" ht="15.75" x14ac:dyDescent="0.25">
      <c r="A1" s="256" t="s">
        <v>1</v>
      </c>
      <c r="B1" s="256"/>
      <c r="C1" s="256"/>
      <c r="D1" s="256"/>
      <c r="E1" s="256"/>
      <c r="F1" s="256"/>
      <c r="G1" s="256"/>
    </row>
    <row r="2" spans="1:133" s="31" customFormat="1" ht="18.75" x14ac:dyDescent="0.3">
      <c r="A2" s="257" t="s">
        <v>2</v>
      </c>
      <c r="B2" s="257"/>
      <c r="C2" s="257"/>
      <c r="D2" s="257"/>
      <c r="E2" s="257"/>
      <c r="F2" s="257"/>
      <c r="G2" s="257"/>
    </row>
    <row r="3" spans="1:133" s="31" customFormat="1" ht="18.75" x14ac:dyDescent="0.3">
      <c r="A3" s="258" t="s">
        <v>3</v>
      </c>
      <c r="B3" s="258"/>
      <c r="C3" s="258"/>
      <c r="D3" s="258"/>
      <c r="E3" s="258"/>
      <c r="F3" s="258"/>
      <c r="G3" s="258"/>
    </row>
    <row r="4" spans="1:133" s="31" customFormat="1" ht="18.75" x14ac:dyDescent="0.3">
      <c r="A4" s="92"/>
      <c r="B4" s="105"/>
      <c r="C4" s="105"/>
      <c r="D4" s="105"/>
      <c r="E4" s="105"/>
      <c r="F4" s="105"/>
      <c r="G4" s="105"/>
    </row>
    <row r="5" spans="1:133" s="31" customFormat="1" ht="18.75" x14ac:dyDescent="0.3">
      <c r="A5" s="248"/>
      <c r="B5" s="248"/>
      <c r="C5" s="248"/>
      <c r="D5" s="248"/>
      <c r="E5" s="248"/>
      <c r="F5" s="248"/>
      <c r="G5" s="248"/>
    </row>
    <row r="6" spans="1:133" s="31" customFormat="1" ht="18.75" x14ac:dyDescent="0.3">
      <c r="A6" s="93"/>
      <c r="B6" s="104"/>
      <c r="C6" s="104"/>
      <c r="D6" s="104"/>
      <c r="E6" s="104"/>
      <c r="F6" s="104"/>
      <c r="G6" s="104"/>
    </row>
    <row r="7" spans="1:133" s="31" customFormat="1" ht="18.75" x14ac:dyDescent="0.3">
      <c r="A7" s="261"/>
      <c r="B7" s="261"/>
      <c r="C7" s="261"/>
      <c r="D7" s="261"/>
      <c r="E7" s="261"/>
      <c r="F7" s="261"/>
      <c r="G7" s="261"/>
    </row>
    <row r="8" spans="1:133" s="32" customFormat="1" ht="26.25" x14ac:dyDescent="0.35">
      <c r="A8" s="255" t="s">
        <v>21</v>
      </c>
      <c r="B8" s="255"/>
      <c r="C8" s="255"/>
      <c r="D8" s="255"/>
      <c r="E8" s="255"/>
      <c r="F8" s="255"/>
      <c r="G8" s="255"/>
    </row>
    <row r="9" spans="1:133" s="31" customFormat="1" ht="18.75" x14ac:dyDescent="0.3">
      <c r="A9" s="96"/>
      <c r="B9" s="96"/>
      <c r="C9" s="97"/>
      <c r="D9" s="97"/>
      <c r="E9" s="96"/>
      <c r="F9" s="96"/>
      <c r="G9" s="96"/>
    </row>
    <row r="10" spans="1:133" s="31" customFormat="1" ht="37.5" x14ac:dyDescent="0.3">
      <c r="A10" s="98" t="s">
        <v>5</v>
      </c>
      <c r="B10" s="99" t="s">
        <v>6</v>
      </c>
      <c r="C10" s="98" t="s">
        <v>7</v>
      </c>
      <c r="D10" s="98" t="s">
        <v>8</v>
      </c>
      <c r="E10" s="100" t="s">
        <v>9</v>
      </c>
      <c r="F10" s="101" t="s">
        <v>10</v>
      </c>
      <c r="G10" s="102" t="s">
        <v>11</v>
      </c>
    </row>
    <row r="11" spans="1:133" s="31" customFormat="1" ht="18.75" x14ac:dyDescent="0.3">
      <c r="A11" s="106"/>
      <c r="B11" s="107"/>
      <c r="C11" s="106"/>
      <c r="D11" s="106"/>
      <c r="E11" s="108"/>
      <c r="F11" s="109"/>
      <c r="G11" s="110">
        <v>39292208.97675018</v>
      </c>
    </row>
    <row r="12" spans="1:133" s="75" customFormat="1" ht="15.75" x14ac:dyDescent="0.25">
      <c r="A12" s="86">
        <v>44206</v>
      </c>
      <c r="B12" s="76"/>
      <c r="C12" s="85" t="s">
        <v>13</v>
      </c>
      <c r="D12" s="85" t="s">
        <v>22</v>
      </c>
      <c r="E12" s="62">
        <v>48432</v>
      </c>
      <c r="F12" s="90"/>
      <c r="G12" s="95">
        <f>G11+E12-F12</f>
        <v>39340640.97675018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</row>
    <row r="13" spans="1:133" s="75" customFormat="1" ht="15.75" x14ac:dyDescent="0.25">
      <c r="A13" s="86">
        <v>44206</v>
      </c>
      <c r="B13" s="76"/>
      <c r="C13" s="85" t="s">
        <v>13</v>
      </c>
      <c r="D13" s="85" t="s">
        <v>48</v>
      </c>
      <c r="E13" s="89">
        <v>2570</v>
      </c>
      <c r="F13" s="89">
        <f>E13*0.025</f>
        <v>64.25</v>
      </c>
      <c r="G13" s="95">
        <f>G12+E13-F13</f>
        <v>39343146.72675018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</row>
    <row r="14" spans="1:133" s="75" customFormat="1" ht="15.75" x14ac:dyDescent="0.25">
      <c r="A14" s="86">
        <v>44206</v>
      </c>
      <c r="B14" s="87" t="s">
        <v>106</v>
      </c>
      <c r="C14" s="85" t="s">
        <v>107</v>
      </c>
      <c r="D14" s="85" t="s">
        <v>108</v>
      </c>
      <c r="E14" s="89"/>
      <c r="F14" s="89">
        <v>1333.29</v>
      </c>
      <c r="G14" s="95">
        <f t="shared" ref="G14:G77" si="0">G13+E14-F14</f>
        <v>39341813.436750181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</row>
    <row r="15" spans="1:133" s="75" customFormat="1" ht="31.5" x14ac:dyDescent="0.25">
      <c r="A15" s="86">
        <v>44206</v>
      </c>
      <c r="B15" s="87" t="s">
        <v>109</v>
      </c>
      <c r="C15" s="85" t="s">
        <v>110</v>
      </c>
      <c r="D15" s="85" t="s">
        <v>111</v>
      </c>
      <c r="E15" s="89"/>
      <c r="F15" s="89">
        <v>362.88</v>
      </c>
      <c r="G15" s="95">
        <f>G14+E15-F15</f>
        <v>39341450.556750178</v>
      </c>
      <c r="H15" s="52">
        <f>E13-F13</f>
        <v>2505.75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</row>
    <row r="16" spans="1:133" s="75" customFormat="1" ht="31.5" x14ac:dyDescent="0.25">
      <c r="A16" s="86">
        <v>44206</v>
      </c>
      <c r="B16" s="87" t="s">
        <v>112</v>
      </c>
      <c r="C16" s="85" t="s">
        <v>34</v>
      </c>
      <c r="D16" s="85" t="s">
        <v>113</v>
      </c>
      <c r="E16" s="89"/>
      <c r="F16" s="89">
        <v>8977.5</v>
      </c>
      <c r="G16" s="95">
        <f t="shared" si="0"/>
        <v>39332473.056750178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</row>
    <row r="17" spans="1:133" s="75" customFormat="1" ht="15.75" x14ac:dyDescent="0.25">
      <c r="A17" s="86">
        <v>44206</v>
      </c>
      <c r="B17" s="87" t="s">
        <v>112</v>
      </c>
      <c r="C17" s="85" t="s">
        <v>34</v>
      </c>
      <c r="D17" s="85" t="s">
        <v>138</v>
      </c>
      <c r="E17" s="89"/>
      <c r="F17" s="89">
        <v>472.5</v>
      </c>
      <c r="G17" s="95">
        <f t="shared" si="0"/>
        <v>39332000.556750178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</row>
    <row r="18" spans="1:133" s="75" customFormat="1" ht="47.25" x14ac:dyDescent="0.25">
      <c r="A18" s="86">
        <v>44206</v>
      </c>
      <c r="B18" s="87" t="s">
        <v>114</v>
      </c>
      <c r="C18" s="85" t="s">
        <v>116</v>
      </c>
      <c r="D18" s="85" t="s">
        <v>115</v>
      </c>
      <c r="E18" s="89"/>
      <c r="F18" s="89">
        <v>29557.3</v>
      </c>
      <c r="G18" s="95">
        <f t="shared" si="0"/>
        <v>39302443.256750181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</row>
    <row r="19" spans="1:133" s="75" customFormat="1" ht="31.5" x14ac:dyDescent="0.25">
      <c r="A19" s="86">
        <v>44206</v>
      </c>
      <c r="B19" s="87" t="s">
        <v>114</v>
      </c>
      <c r="C19" s="85" t="s">
        <v>116</v>
      </c>
      <c r="D19" s="85" t="s">
        <v>141</v>
      </c>
      <c r="E19" s="89"/>
      <c r="F19" s="89">
        <f>1483.36+1373.48</f>
        <v>2856.84</v>
      </c>
      <c r="G19" s="94">
        <f t="shared" si="0"/>
        <v>39299586.416750178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</row>
    <row r="20" spans="1:133" s="75" customFormat="1" ht="15.75" x14ac:dyDescent="0.25">
      <c r="A20" s="86">
        <v>44296</v>
      </c>
      <c r="B20" s="76"/>
      <c r="C20" s="85" t="s">
        <v>13</v>
      </c>
      <c r="D20" s="85" t="s">
        <v>22</v>
      </c>
      <c r="E20" s="89">
        <v>37949</v>
      </c>
      <c r="F20" s="89"/>
      <c r="G20" s="95">
        <f t="shared" si="0"/>
        <v>39337535.416750178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</row>
    <row r="21" spans="1:133" s="75" customFormat="1" ht="15.75" x14ac:dyDescent="0.25">
      <c r="A21" s="86">
        <v>44296</v>
      </c>
      <c r="B21" s="76"/>
      <c r="C21" s="85" t="s">
        <v>13</v>
      </c>
      <c r="D21" s="85" t="s">
        <v>48</v>
      </c>
      <c r="E21" s="89">
        <v>457</v>
      </c>
      <c r="F21" s="89">
        <f>E21*0.025</f>
        <v>11.425000000000001</v>
      </c>
      <c r="G21" s="94">
        <f t="shared" si="0"/>
        <v>39337980.991750181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</row>
    <row r="22" spans="1:133" s="75" customFormat="1" ht="15.75" x14ac:dyDescent="0.25">
      <c r="A22" s="86">
        <v>44326</v>
      </c>
      <c r="B22" s="76"/>
      <c r="C22" s="85" t="s">
        <v>13</v>
      </c>
      <c r="D22" s="85" t="s">
        <v>22</v>
      </c>
      <c r="E22" s="62">
        <v>26206</v>
      </c>
      <c r="F22" s="89"/>
      <c r="G22" s="95">
        <f t="shared" si="0"/>
        <v>39364186.991750181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</row>
    <row r="23" spans="1:133" s="75" customFormat="1" ht="15.75" x14ac:dyDescent="0.25">
      <c r="A23" s="86">
        <v>44326</v>
      </c>
      <c r="B23" s="76"/>
      <c r="C23" s="85" t="s">
        <v>13</v>
      </c>
      <c r="D23" s="85" t="s">
        <v>48</v>
      </c>
      <c r="E23" s="89">
        <v>100</v>
      </c>
      <c r="F23" s="89">
        <f>E23*0.025</f>
        <v>2.5</v>
      </c>
      <c r="G23" s="95">
        <f t="shared" si="0"/>
        <v>39364284.491750181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</row>
    <row r="24" spans="1:133" s="75" customFormat="1" ht="15.75" x14ac:dyDescent="0.25">
      <c r="A24" s="86">
        <v>44326</v>
      </c>
      <c r="B24" s="76"/>
      <c r="C24" s="85" t="s">
        <v>13</v>
      </c>
      <c r="D24" s="85" t="s">
        <v>48</v>
      </c>
      <c r="E24" s="89">
        <v>121</v>
      </c>
      <c r="F24" s="89">
        <f>E24*0.025</f>
        <v>3.0250000000000004</v>
      </c>
      <c r="G24" s="95">
        <f t="shared" si="0"/>
        <v>39364402.466750182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</row>
    <row r="25" spans="1:133" s="75" customFormat="1" ht="15.75" x14ac:dyDescent="0.25">
      <c r="A25" s="86">
        <v>44326</v>
      </c>
      <c r="B25" s="76"/>
      <c r="C25" s="85" t="s">
        <v>13</v>
      </c>
      <c r="D25" s="85" t="s">
        <v>48</v>
      </c>
      <c r="E25" s="89">
        <v>121</v>
      </c>
      <c r="F25" s="89">
        <f>E25*0.025</f>
        <v>3.0250000000000004</v>
      </c>
      <c r="G25" s="95">
        <f t="shared" si="0"/>
        <v>39364520.441750184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</row>
    <row r="26" spans="1:133" s="75" customFormat="1" ht="15.75" x14ac:dyDescent="0.25">
      <c r="A26" s="86">
        <v>44326</v>
      </c>
      <c r="B26" s="76"/>
      <c r="C26" s="85" t="s">
        <v>13</v>
      </c>
      <c r="D26" s="85" t="s">
        <v>48</v>
      </c>
      <c r="E26" s="89">
        <v>200</v>
      </c>
      <c r="F26" s="89">
        <f>E26*0.025</f>
        <v>5</v>
      </c>
      <c r="G26" s="95">
        <f t="shared" si="0"/>
        <v>39364715.441750184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</row>
    <row r="27" spans="1:133" s="75" customFormat="1" ht="31.5" x14ac:dyDescent="0.25">
      <c r="A27" s="86">
        <v>44326</v>
      </c>
      <c r="B27" s="87" t="s">
        <v>117</v>
      </c>
      <c r="C27" s="85" t="s">
        <v>52</v>
      </c>
      <c r="D27" s="85" t="s">
        <v>118</v>
      </c>
      <c r="E27" s="90"/>
      <c r="F27" s="89">
        <v>1582078.5</v>
      </c>
      <c r="G27" s="95">
        <f t="shared" si="0"/>
        <v>37782636.941750184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</row>
    <row r="28" spans="1:133" s="75" customFormat="1" ht="15.75" x14ac:dyDescent="0.25">
      <c r="A28" s="86">
        <v>44326</v>
      </c>
      <c r="B28" s="87" t="s">
        <v>117</v>
      </c>
      <c r="C28" s="85" t="s">
        <v>52</v>
      </c>
      <c r="D28" s="85" t="s">
        <v>137</v>
      </c>
      <c r="E28" s="90"/>
      <c r="F28" s="89">
        <v>146488.75</v>
      </c>
      <c r="G28" s="95">
        <f t="shared" si="0"/>
        <v>37636148.191750184</v>
      </c>
      <c r="H28" s="52">
        <f>E23+E24+E25+E26</f>
        <v>542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</row>
    <row r="29" spans="1:133" s="75" customFormat="1" ht="15.75" x14ac:dyDescent="0.25">
      <c r="A29" s="86">
        <v>44326</v>
      </c>
      <c r="B29" s="87" t="s">
        <v>119</v>
      </c>
      <c r="C29" s="85" t="s">
        <v>51</v>
      </c>
      <c r="D29" s="85" t="s">
        <v>120</v>
      </c>
      <c r="E29" s="90"/>
      <c r="F29" s="89">
        <v>941436</v>
      </c>
      <c r="G29" s="95">
        <f t="shared" si="0"/>
        <v>36694712.191750184</v>
      </c>
      <c r="H29" s="52">
        <f>F23+F24+F25+F26</f>
        <v>13.55</v>
      </c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</row>
    <row r="30" spans="1:133" s="75" customFormat="1" ht="15.75" x14ac:dyDescent="0.25">
      <c r="A30" s="86">
        <v>44326</v>
      </c>
      <c r="B30" s="87" t="s">
        <v>119</v>
      </c>
      <c r="C30" s="85" t="s">
        <v>51</v>
      </c>
      <c r="D30" s="85" t="s">
        <v>137</v>
      </c>
      <c r="E30" s="90"/>
      <c r="F30" s="89">
        <v>87170</v>
      </c>
      <c r="G30" s="95">
        <f t="shared" si="0"/>
        <v>36607542.191750184</v>
      </c>
      <c r="H30" s="52">
        <f>H28-H29</f>
        <v>528.45000000000005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</row>
    <row r="31" spans="1:133" s="75" customFormat="1" ht="31.5" x14ac:dyDescent="0.25">
      <c r="A31" s="86">
        <v>44326</v>
      </c>
      <c r="B31" s="87" t="s">
        <v>121</v>
      </c>
      <c r="C31" s="85" t="s">
        <v>99</v>
      </c>
      <c r="D31" s="85" t="s">
        <v>122</v>
      </c>
      <c r="E31" s="90"/>
      <c r="F31" s="89">
        <v>1072448.5900000001</v>
      </c>
      <c r="G31" s="95">
        <f t="shared" si="0"/>
        <v>35535093.60175018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</row>
    <row r="32" spans="1:133" s="75" customFormat="1" ht="15.75" x14ac:dyDescent="0.25">
      <c r="A32" s="86">
        <v>44326</v>
      </c>
      <c r="B32" s="87" t="s">
        <v>121</v>
      </c>
      <c r="C32" s="85" t="s">
        <v>99</v>
      </c>
      <c r="D32" s="85" t="s">
        <v>138</v>
      </c>
      <c r="E32" s="90"/>
      <c r="F32" s="89">
        <f>50176.89</f>
        <v>50176.89</v>
      </c>
      <c r="G32" s="95">
        <f t="shared" si="0"/>
        <v>35484916.71175018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</row>
    <row r="33" spans="1:133" s="75" customFormat="1" ht="47.25" x14ac:dyDescent="0.25">
      <c r="A33" s="86">
        <v>44326</v>
      </c>
      <c r="B33" s="87" t="s">
        <v>123</v>
      </c>
      <c r="C33" s="85" t="s">
        <v>124</v>
      </c>
      <c r="D33" s="85" t="s">
        <v>125</v>
      </c>
      <c r="E33" s="90"/>
      <c r="F33" s="89">
        <v>1004856.77</v>
      </c>
      <c r="G33" s="95">
        <f t="shared" si="0"/>
        <v>34480059.941750176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</row>
    <row r="34" spans="1:133" s="75" customFormat="1" ht="15.75" x14ac:dyDescent="0.25">
      <c r="A34" s="86">
        <v>44326</v>
      </c>
      <c r="B34" s="87" t="s">
        <v>123</v>
      </c>
      <c r="C34" s="85" t="s">
        <v>124</v>
      </c>
      <c r="D34" s="85" t="s">
        <v>142</v>
      </c>
      <c r="E34" s="90"/>
      <c r="F34" s="89">
        <f>37029.32+46101.15</f>
        <v>83130.47</v>
      </c>
      <c r="G34" s="94">
        <f t="shared" si="0"/>
        <v>34396929.471750177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</row>
    <row r="35" spans="1:133" s="75" customFormat="1" ht="15.75" x14ac:dyDescent="0.25">
      <c r="A35" s="86">
        <v>44357</v>
      </c>
      <c r="B35" s="87"/>
      <c r="C35" s="85" t="s">
        <v>13</v>
      </c>
      <c r="D35" s="85" t="s">
        <v>22</v>
      </c>
      <c r="E35" s="62">
        <v>49543</v>
      </c>
      <c r="F35" s="89"/>
      <c r="G35" s="95">
        <f t="shared" si="0"/>
        <v>34446472.471750177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</row>
    <row r="36" spans="1:133" s="75" customFormat="1" ht="15.75" x14ac:dyDescent="0.25">
      <c r="A36" s="86">
        <v>44357</v>
      </c>
      <c r="B36" s="87"/>
      <c r="C36" s="85" t="s">
        <v>13</v>
      </c>
      <c r="D36" s="85" t="s">
        <v>48</v>
      </c>
      <c r="E36" s="89">
        <v>121</v>
      </c>
      <c r="F36" s="89">
        <f>E36*0.025</f>
        <v>3.0250000000000004</v>
      </c>
      <c r="G36" s="95">
        <f t="shared" si="0"/>
        <v>34446590.446750179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</row>
    <row r="37" spans="1:133" s="75" customFormat="1" ht="15.75" x14ac:dyDescent="0.25">
      <c r="A37" s="86">
        <v>44357</v>
      </c>
      <c r="B37" s="87"/>
      <c r="C37" s="85" t="s">
        <v>13</v>
      </c>
      <c r="D37" s="85" t="s">
        <v>48</v>
      </c>
      <c r="E37" s="89">
        <v>300</v>
      </c>
      <c r="F37" s="89">
        <f>E37*0.025</f>
        <v>7.5</v>
      </c>
      <c r="G37" s="95">
        <f t="shared" si="0"/>
        <v>34446882.946750179</v>
      </c>
      <c r="H37" s="52">
        <f>E36+E37</f>
        <v>421</v>
      </c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</row>
    <row r="38" spans="1:133" s="75" customFormat="1" ht="31.5" x14ac:dyDescent="0.25">
      <c r="A38" s="86">
        <v>44357</v>
      </c>
      <c r="B38" s="87" t="s">
        <v>126</v>
      </c>
      <c r="C38" s="85" t="s">
        <v>83</v>
      </c>
      <c r="D38" s="85" t="s">
        <v>127</v>
      </c>
      <c r="E38" s="90"/>
      <c r="F38" s="89">
        <v>419640</v>
      </c>
      <c r="G38" s="95">
        <f t="shared" si="0"/>
        <v>34027242.946750179</v>
      </c>
      <c r="H38" s="52">
        <f>F36+F37</f>
        <v>10.525</v>
      </c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</row>
    <row r="39" spans="1:133" s="75" customFormat="1" ht="15.75" x14ac:dyDescent="0.25">
      <c r="A39" s="86">
        <v>44357</v>
      </c>
      <c r="B39" s="87" t="s">
        <v>126</v>
      </c>
      <c r="C39" s="85" t="s">
        <v>83</v>
      </c>
      <c r="D39" s="85" t="s">
        <v>140</v>
      </c>
      <c r="E39" s="90"/>
      <c r="F39" s="89">
        <f>21060+19500</f>
        <v>40560</v>
      </c>
      <c r="G39" s="94">
        <f t="shared" si="0"/>
        <v>33986682.946750179</v>
      </c>
      <c r="H39" s="52">
        <f>H37-H38</f>
        <v>410.47500000000002</v>
      </c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</row>
    <row r="40" spans="1:133" s="75" customFormat="1" ht="15.75" x14ac:dyDescent="0.25">
      <c r="A40" s="86">
        <v>44387</v>
      </c>
      <c r="B40" s="87"/>
      <c r="C40" s="85" t="s">
        <v>13</v>
      </c>
      <c r="D40" s="85" t="s">
        <v>22</v>
      </c>
      <c r="E40" s="62">
        <v>81260</v>
      </c>
      <c r="F40" s="89"/>
      <c r="G40" s="95">
        <f t="shared" si="0"/>
        <v>34067942.946750179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</row>
    <row r="41" spans="1:133" s="75" customFormat="1" ht="15.75" x14ac:dyDescent="0.25">
      <c r="A41" s="86">
        <v>44387</v>
      </c>
      <c r="B41" s="87"/>
      <c r="C41" s="85" t="s">
        <v>13</v>
      </c>
      <c r="D41" s="85" t="s">
        <v>48</v>
      </c>
      <c r="E41" s="89">
        <v>100</v>
      </c>
      <c r="F41" s="89">
        <f>E41*0.025</f>
        <v>2.5</v>
      </c>
      <c r="G41" s="95">
        <f t="shared" si="0"/>
        <v>34068040.446750179</v>
      </c>
      <c r="H41" s="29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</row>
    <row r="42" spans="1:133" s="75" customFormat="1" ht="15.75" x14ac:dyDescent="0.25">
      <c r="A42" s="86">
        <v>44387</v>
      </c>
      <c r="B42" s="87"/>
      <c r="C42" s="85" t="s">
        <v>13</v>
      </c>
      <c r="D42" s="85" t="s">
        <v>48</v>
      </c>
      <c r="E42" s="89">
        <v>436</v>
      </c>
      <c r="F42" s="89">
        <f>E42*0.025</f>
        <v>10.9</v>
      </c>
      <c r="G42" s="95">
        <f t="shared" si="0"/>
        <v>34068465.54675018</v>
      </c>
      <c r="H42" s="29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</row>
    <row r="43" spans="1:133" s="75" customFormat="1" ht="15.75" x14ac:dyDescent="0.25">
      <c r="A43" s="86">
        <v>44387</v>
      </c>
      <c r="B43" s="87"/>
      <c r="C43" s="85" t="s">
        <v>13</v>
      </c>
      <c r="D43" s="85" t="s">
        <v>48</v>
      </c>
      <c r="E43" s="89">
        <v>242</v>
      </c>
      <c r="F43" s="89">
        <f>E43*0.025</f>
        <v>6.0500000000000007</v>
      </c>
      <c r="G43" s="95">
        <f t="shared" si="0"/>
        <v>34068701.496750183</v>
      </c>
      <c r="H43" s="29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</row>
    <row r="44" spans="1:133" s="75" customFormat="1" ht="15.75" x14ac:dyDescent="0.25">
      <c r="A44" s="86">
        <v>44387</v>
      </c>
      <c r="B44" s="87"/>
      <c r="C44" s="85" t="s">
        <v>13</v>
      </c>
      <c r="D44" s="85" t="s">
        <v>48</v>
      </c>
      <c r="E44" s="89">
        <v>300</v>
      </c>
      <c r="F44" s="89">
        <f>E44*0.025</f>
        <v>7.5</v>
      </c>
      <c r="G44" s="95">
        <f t="shared" si="0"/>
        <v>34068993.996750183</v>
      </c>
      <c r="H44" s="29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</row>
    <row r="45" spans="1:133" s="75" customFormat="1" ht="15.75" x14ac:dyDescent="0.25">
      <c r="A45" s="86">
        <v>44387</v>
      </c>
      <c r="B45" s="87"/>
      <c r="C45" s="85" t="s">
        <v>13</v>
      </c>
      <c r="D45" s="85" t="s">
        <v>48</v>
      </c>
      <c r="E45" s="89">
        <v>1300</v>
      </c>
      <c r="F45" s="89">
        <f>E45*0.025</f>
        <v>32.5</v>
      </c>
      <c r="G45" s="94">
        <f t="shared" si="0"/>
        <v>34070261.496750183</v>
      </c>
      <c r="H45" s="29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</row>
    <row r="46" spans="1:133" s="75" customFormat="1" ht="15.75" x14ac:dyDescent="0.25">
      <c r="A46" s="86">
        <v>44418</v>
      </c>
      <c r="B46" s="87"/>
      <c r="C46" s="85" t="s">
        <v>13</v>
      </c>
      <c r="D46" s="85" t="s">
        <v>22</v>
      </c>
      <c r="E46" s="62">
        <f>96822</f>
        <v>96822</v>
      </c>
      <c r="F46" s="89"/>
      <c r="G46" s="95">
        <f t="shared" si="0"/>
        <v>34167083.496750183</v>
      </c>
      <c r="H46" s="29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</row>
    <row r="47" spans="1:133" s="75" customFormat="1" ht="15.75" x14ac:dyDescent="0.25">
      <c r="A47" s="86">
        <v>44418</v>
      </c>
      <c r="B47" s="87"/>
      <c r="C47" s="85" t="s">
        <v>13</v>
      </c>
      <c r="D47" s="85" t="s">
        <v>48</v>
      </c>
      <c r="E47" s="89">
        <v>121</v>
      </c>
      <c r="F47" s="89">
        <f>E47*0.025</f>
        <v>3.0250000000000004</v>
      </c>
      <c r="G47" s="95">
        <f t="shared" si="0"/>
        <v>34167201.471750185</v>
      </c>
      <c r="H47" s="29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</row>
    <row r="48" spans="1:133" s="75" customFormat="1" ht="15.75" x14ac:dyDescent="0.25">
      <c r="A48" s="86">
        <v>44418</v>
      </c>
      <c r="B48" s="87"/>
      <c r="C48" s="85" t="s">
        <v>13</v>
      </c>
      <c r="D48" s="85" t="s">
        <v>48</v>
      </c>
      <c r="E48" s="89">
        <v>100</v>
      </c>
      <c r="F48" s="89">
        <f>E48*0.025</f>
        <v>2.5</v>
      </c>
      <c r="G48" s="95">
        <f t="shared" si="0"/>
        <v>34167298.971750185</v>
      </c>
      <c r="H48" s="29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</row>
    <row r="49" spans="1:133" s="75" customFormat="1" ht="15.75" x14ac:dyDescent="0.25">
      <c r="A49" s="86">
        <v>44418</v>
      </c>
      <c r="B49" s="87"/>
      <c r="C49" s="85" t="s">
        <v>13</v>
      </c>
      <c r="D49" s="85" t="s">
        <v>48</v>
      </c>
      <c r="E49" s="89">
        <v>121</v>
      </c>
      <c r="F49" s="89">
        <f>E49*0.025</f>
        <v>3.0250000000000004</v>
      </c>
      <c r="G49" s="95">
        <f t="shared" si="0"/>
        <v>34167416.946750186</v>
      </c>
      <c r="H49" s="29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</row>
    <row r="50" spans="1:133" s="75" customFormat="1" ht="15.75" x14ac:dyDescent="0.25">
      <c r="A50" s="86">
        <v>44418</v>
      </c>
      <c r="B50" s="87"/>
      <c r="C50" s="85" t="s">
        <v>13</v>
      </c>
      <c r="D50" s="85" t="s">
        <v>48</v>
      </c>
      <c r="E50" s="89">
        <v>300</v>
      </c>
      <c r="F50" s="89">
        <f>E50*0.025</f>
        <v>7.5</v>
      </c>
      <c r="G50" s="95">
        <f t="shared" si="0"/>
        <v>34167709.446750186</v>
      </c>
      <c r="H50" s="29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</row>
    <row r="51" spans="1:133" s="75" customFormat="1" ht="15.75" x14ac:dyDescent="0.25">
      <c r="A51" s="86">
        <v>44418</v>
      </c>
      <c r="B51" s="87"/>
      <c r="C51" s="85" t="s">
        <v>13</v>
      </c>
      <c r="D51" s="85" t="s">
        <v>48</v>
      </c>
      <c r="E51" s="89">
        <v>3000</v>
      </c>
      <c r="F51" s="89">
        <f>E51*0.025</f>
        <v>75</v>
      </c>
      <c r="G51" s="95">
        <f t="shared" si="0"/>
        <v>34170634.446750186</v>
      </c>
      <c r="H51" s="29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</row>
    <row r="52" spans="1:133" s="75" customFormat="1" ht="31.5" x14ac:dyDescent="0.25">
      <c r="A52" s="86">
        <v>44418</v>
      </c>
      <c r="B52" s="87" t="s">
        <v>128</v>
      </c>
      <c r="C52" s="85" t="s">
        <v>81</v>
      </c>
      <c r="D52" s="85" t="s">
        <v>129</v>
      </c>
      <c r="E52" s="90"/>
      <c r="F52" s="89">
        <v>22951.54</v>
      </c>
      <c r="G52" s="95">
        <f t="shared" si="0"/>
        <v>34147682.906750187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</row>
    <row r="53" spans="1:133" s="75" customFormat="1" ht="15.75" x14ac:dyDescent="0.25">
      <c r="A53" s="86">
        <v>44418</v>
      </c>
      <c r="B53" s="87" t="s">
        <v>128</v>
      </c>
      <c r="C53" s="85" t="s">
        <v>81</v>
      </c>
      <c r="D53" s="85" t="s">
        <v>138</v>
      </c>
      <c r="E53" s="90"/>
      <c r="F53" s="89">
        <v>918.68</v>
      </c>
      <c r="G53" s="94">
        <f t="shared" si="0"/>
        <v>34146764.226750188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</row>
    <row r="54" spans="1:133" s="75" customFormat="1" ht="15.75" x14ac:dyDescent="0.25">
      <c r="A54" s="86">
        <v>44510</v>
      </c>
      <c r="B54" s="87"/>
      <c r="C54" s="85" t="s">
        <v>13</v>
      </c>
      <c r="D54" s="85" t="s">
        <v>22</v>
      </c>
      <c r="E54" s="90">
        <v>22375</v>
      </c>
      <c r="F54" s="89"/>
      <c r="G54" s="95">
        <f t="shared" si="0"/>
        <v>34169139.226750188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</row>
    <row r="55" spans="1:133" s="75" customFormat="1" ht="15.75" x14ac:dyDescent="0.25">
      <c r="A55" s="86">
        <v>44510</v>
      </c>
      <c r="B55" s="87"/>
      <c r="C55" s="85" t="s">
        <v>13</v>
      </c>
      <c r="D55" s="85" t="s">
        <v>48</v>
      </c>
      <c r="E55" s="89">
        <v>100</v>
      </c>
      <c r="F55" s="89">
        <f>E55*0.025</f>
        <v>2.5</v>
      </c>
      <c r="G55" s="95">
        <f t="shared" si="0"/>
        <v>34169236.726750188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</row>
    <row r="56" spans="1:133" s="75" customFormat="1" ht="15.75" x14ac:dyDescent="0.25">
      <c r="A56" s="86">
        <v>44510</v>
      </c>
      <c r="B56" s="87"/>
      <c r="C56" s="85" t="s">
        <v>13</v>
      </c>
      <c r="D56" s="85" t="s">
        <v>48</v>
      </c>
      <c r="E56" s="89">
        <v>86.8</v>
      </c>
      <c r="F56" s="89">
        <f>E56*0.025</f>
        <v>2.17</v>
      </c>
      <c r="G56" s="95">
        <f t="shared" si="0"/>
        <v>34169321.356750183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</row>
    <row r="57" spans="1:133" s="75" customFormat="1" ht="15.75" x14ac:dyDescent="0.25">
      <c r="A57" s="86">
        <v>44510</v>
      </c>
      <c r="B57" s="87"/>
      <c r="C57" s="85" t="s">
        <v>13</v>
      </c>
      <c r="D57" s="85" t="s">
        <v>48</v>
      </c>
      <c r="E57" s="89">
        <v>720</v>
      </c>
      <c r="F57" s="89">
        <f>E57*0.025</f>
        <v>18</v>
      </c>
      <c r="G57" s="94">
        <f t="shared" si="0"/>
        <v>34170023.356750183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</row>
    <row r="58" spans="1:133" s="75" customFormat="1" ht="15.75" x14ac:dyDescent="0.25">
      <c r="A58" s="86">
        <v>44540</v>
      </c>
      <c r="B58" s="87"/>
      <c r="C58" s="85" t="s">
        <v>13</v>
      </c>
      <c r="D58" s="85" t="s">
        <v>22</v>
      </c>
      <c r="E58" s="90">
        <v>36872</v>
      </c>
      <c r="F58" s="89"/>
      <c r="G58" s="95">
        <f t="shared" si="0"/>
        <v>34206895.356750183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</row>
    <row r="59" spans="1:133" s="75" customFormat="1" ht="15.75" x14ac:dyDescent="0.25">
      <c r="A59" s="86">
        <v>44540</v>
      </c>
      <c r="B59" s="87"/>
      <c r="C59" s="85" t="s">
        <v>13</v>
      </c>
      <c r="D59" s="85" t="s">
        <v>48</v>
      </c>
      <c r="E59" s="89">
        <v>11082.62</v>
      </c>
      <c r="F59" s="89">
        <f>E59*0.025</f>
        <v>277.06550000000004</v>
      </c>
      <c r="G59" s="95">
        <f t="shared" si="0"/>
        <v>34217700.911250181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</row>
    <row r="60" spans="1:133" s="75" customFormat="1" ht="15.75" x14ac:dyDescent="0.25">
      <c r="A60" s="86">
        <v>44540</v>
      </c>
      <c r="B60" s="87"/>
      <c r="C60" s="85" t="s">
        <v>13</v>
      </c>
      <c r="D60" s="85" t="s">
        <v>48</v>
      </c>
      <c r="E60" s="89">
        <v>514</v>
      </c>
      <c r="F60" s="89">
        <f>E60*0.025</f>
        <v>12.850000000000001</v>
      </c>
      <c r="G60" s="95">
        <f t="shared" si="0"/>
        <v>34218202.06125018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</row>
    <row r="61" spans="1:133" s="75" customFormat="1" ht="15.75" x14ac:dyDescent="0.25">
      <c r="A61" s="86">
        <v>44540</v>
      </c>
      <c r="B61" s="87"/>
      <c r="C61" s="85" t="s">
        <v>13</v>
      </c>
      <c r="D61" s="85" t="s">
        <v>48</v>
      </c>
      <c r="E61" s="89">
        <v>538.5</v>
      </c>
      <c r="F61" s="89">
        <f>E61*0.025</f>
        <v>13.4625</v>
      </c>
      <c r="G61" s="95">
        <f t="shared" si="0"/>
        <v>34218727.098750181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</row>
    <row r="62" spans="1:133" s="75" customFormat="1" ht="15.75" x14ac:dyDescent="0.25">
      <c r="A62" s="86">
        <v>44540</v>
      </c>
      <c r="B62" s="87"/>
      <c r="C62" s="85" t="s">
        <v>13</v>
      </c>
      <c r="D62" s="85" t="s">
        <v>48</v>
      </c>
      <c r="E62" s="89">
        <v>600</v>
      </c>
      <c r="F62" s="89">
        <f>E62*0.025</f>
        <v>15</v>
      </c>
      <c r="G62" s="95">
        <f t="shared" si="0"/>
        <v>34219312.098750181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</row>
    <row r="63" spans="1:133" s="75" customFormat="1" ht="31.5" x14ac:dyDescent="0.25">
      <c r="A63" s="86">
        <v>44540</v>
      </c>
      <c r="B63" s="87" t="s">
        <v>131</v>
      </c>
      <c r="C63" s="85" t="s">
        <v>132</v>
      </c>
      <c r="D63" s="85" t="s">
        <v>133</v>
      </c>
      <c r="E63" s="89"/>
      <c r="F63" s="89">
        <v>825593.31</v>
      </c>
      <c r="G63" s="95">
        <f t="shared" si="0"/>
        <v>33393718.788750183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</row>
    <row r="64" spans="1:133" s="75" customFormat="1" ht="15.75" x14ac:dyDescent="0.25">
      <c r="A64" s="86">
        <v>44540</v>
      </c>
      <c r="B64" s="87" t="s">
        <v>131</v>
      </c>
      <c r="C64" s="85" t="s">
        <v>132</v>
      </c>
      <c r="D64" s="85" t="s">
        <v>139</v>
      </c>
      <c r="E64" s="89"/>
      <c r="F64" s="89">
        <v>122400.99</v>
      </c>
      <c r="G64" s="95">
        <f t="shared" si="0"/>
        <v>33271317.798750184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</row>
    <row r="65" spans="1:133" s="75" customFormat="1" ht="31.5" x14ac:dyDescent="0.25">
      <c r="A65" s="86">
        <v>44540</v>
      </c>
      <c r="B65" s="87" t="s">
        <v>130</v>
      </c>
      <c r="C65" s="85" t="s">
        <v>134</v>
      </c>
      <c r="D65" s="85" t="s">
        <v>135</v>
      </c>
      <c r="E65" s="89"/>
      <c r="F65" s="89">
        <v>4200</v>
      </c>
      <c r="G65" s="94">
        <f t="shared" si="0"/>
        <v>33267117.798750184</v>
      </c>
      <c r="H65" s="29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</row>
    <row r="66" spans="1:133" s="75" customFormat="1" ht="15.75" x14ac:dyDescent="0.25">
      <c r="A66" s="86" t="s">
        <v>136</v>
      </c>
      <c r="B66" s="87"/>
      <c r="C66" s="85" t="s">
        <v>13</v>
      </c>
      <c r="D66" s="85" t="s">
        <v>22</v>
      </c>
      <c r="E66" s="62">
        <v>26563</v>
      </c>
      <c r="F66" s="89"/>
      <c r="G66" s="95">
        <f t="shared" si="0"/>
        <v>33293680.798750184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</row>
    <row r="67" spans="1:133" s="75" customFormat="1" ht="15.75" x14ac:dyDescent="0.25">
      <c r="A67" s="86" t="s">
        <v>136</v>
      </c>
      <c r="B67" s="87"/>
      <c r="C67" s="85" t="s">
        <v>13</v>
      </c>
      <c r="D67" s="85" t="s">
        <v>48</v>
      </c>
      <c r="E67" s="89">
        <v>5824.86</v>
      </c>
      <c r="F67" s="89">
        <f>E67*0.025</f>
        <v>145.6215</v>
      </c>
      <c r="G67" s="95">
        <f t="shared" si="0"/>
        <v>33299360.037250184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</row>
    <row r="68" spans="1:133" s="75" customFormat="1" ht="15.75" x14ac:dyDescent="0.25">
      <c r="A68" s="86" t="s">
        <v>136</v>
      </c>
      <c r="B68" s="87"/>
      <c r="C68" s="85" t="s">
        <v>13</v>
      </c>
      <c r="D68" s="85" t="s">
        <v>48</v>
      </c>
      <c r="E68" s="89">
        <v>2129.42</v>
      </c>
      <c r="F68" s="89">
        <f>E68*0.025</f>
        <v>53.235500000000002</v>
      </c>
      <c r="G68" s="95">
        <f t="shared" si="0"/>
        <v>33301436.221750185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</row>
    <row r="69" spans="1:133" s="75" customFormat="1" ht="15.75" x14ac:dyDescent="0.25">
      <c r="A69" s="86" t="s">
        <v>136</v>
      </c>
      <c r="B69" s="87"/>
      <c r="C69" s="85" t="s">
        <v>13</v>
      </c>
      <c r="D69" s="85" t="s">
        <v>48</v>
      </c>
      <c r="E69" s="89">
        <v>389.08</v>
      </c>
      <c r="F69" s="89">
        <f>E69*0.025</f>
        <v>9.7270000000000003</v>
      </c>
      <c r="G69" s="95">
        <f t="shared" si="0"/>
        <v>33301815.574750181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</row>
    <row r="70" spans="1:133" s="75" customFormat="1" ht="15.75" x14ac:dyDescent="0.25">
      <c r="A70" s="86" t="s">
        <v>136</v>
      </c>
      <c r="B70" s="87"/>
      <c r="C70" s="85" t="s">
        <v>13</v>
      </c>
      <c r="D70" s="85" t="s">
        <v>48</v>
      </c>
      <c r="E70" s="89">
        <v>9670.18</v>
      </c>
      <c r="F70" s="89">
        <f>E70*0.025</f>
        <v>241.75450000000001</v>
      </c>
      <c r="G70" s="95">
        <f t="shared" si="0"/>
        <v>33311244.000250179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</row>
    <row r="71" spans="1:133" s="75" customFormat="1" ht="15.75" x14ac:dyDescent="0.25">
      <c r="A71" s="86" t="s">
        <v>143</v>
      </c>
      <c r="B71" s="87"/>
      <c r="C71" s="85" t="s">
        <v>13</v>
      </c>
      <c r="D71" s="85" t="s">
        <v>22</v>
      </c>
      <c r="E71" s="89">
        <v>58436</v>
      </c>
      <c r="F71" s="89"/>
      <c r="G71" s="95">
        <f t="shared" si="0"/>
        <v>33369680.000250179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</row>
    <row r="72" spans="1:133" s="75" customFormat="1" ht="15.75" x14ac:dyDescent="0.25">
      <c r="A72" s="86" t="s">
        <v>143</v>
      </c>
      <c r="B72" s="87"/>
      <c r="C72" s="85" t="s">
        <v>13</v>
      </c>
      <c r="D72" s="85" t="s">
        <v>48</v>
      </c>
      <c r="E72" s="89">
        <v>800</v>
      </c>
      <c r="F72" s="89">
        <f>E72*0.025</f>
        <v>20</v>
      </c>
      <c r="G72" s="95">
        <f t="shared" si="0"/>
        <v>33370460.000250179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</row>
    <row r="73" spans="1:133" s="75" customFormat="1" ht="47.25" x14ac:dyDescent="0.25">
      <c r="A73" s="86" t="s">
        <v>143</v>
      </c>
      <c r="B73" s="87" t="s">
        <v>144</v>
      </c>
      <c r="C73" s="85" t="s">
        <v>62</v>
      </c>
      <c r="D73" s="85" t="s">
        <v>145</v>
      </c>
      <c r="E73" s="89"/>
      <c r="F73" s="89">
        <v>1293251.97</v>
      </c>
      <c r="G73" s="95">
        <f t="shared" si="0"/>
        <v>32077208.030250181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</row>
    <row r="74" spans="1:133" s="75" customFormat="1" ht="15.75" x14ac:dyDescent="0.25">
      <c r="A74" s="86" t="s">
        <v>143</v>
      </c>
      <c r="B74" s="87" t="s">
        <v>144</v>
      </c>
      <c r="C74" s="85" t="s">
        <v>62</v>
      </c>
      <c r="D74" s="85" t="s">
        <v>146</v>
      </c>
      <c r="E74" s="89"/>
      <c r="F74" s="89">
        <f>182.36+65811.7</f>
        <v>65994.06</v>
      </c>
      <c r="G74" s="94">
        <f t="shared" si="0"/>
        <v>32011213.970250182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</row>
    <row r="75" spans="1:133" s="75" customFormat="1" ht="15.75" x14ac:dyDescent="0.25">
      <c r="A75" s="86" t="s">
        <v>148</v>
      </c>
      <c r="B75" s="87"/>
      <c r="C75" s="85" t="s">
        <v>13</v>
      </c>
      <c r="D75" s="85" t="s">
        <v>22</v>
      </c>
      <c r="E75" s="89">
        <v>91325</v>
      </c>
      <c r="F75" s="89"/>
      <c r="G75" s="95">
        <f t="shared" si="0"/>
        <v>32102538.970250182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</row>
    <row r="76" spans="1:133" s="75" customFormat="1" ht="15.75" x14ac:dyDescent="0.25">
      <c r="A76" s="86" t="s">
        <v>148</v>
      </c>
      <c r="B76" s="87"/>
      <c r="C76" s="85" t="s">
        <v>13</v>
      </c>
      <c r="D76" s="85" t="s">
        <v>48</v>
      </c>
      <c r="E76" s="89">
        <v>1822.36</v>
      </c>
      <c r="F76" s="89">
        <f>E76*0.025</f>
        <v>45.558999999999997</v>
      </c>
      <c r="G76" s="94">
        <f t="shared" si="0"/>
        <v>32104315.771250181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</row>
    <row r="77" spans="1:133" s="75" customFormat="1" ht="15.75" x14ac:dyDescent="0.25">
      <c r="A77" s="86" t="s">
        <v>147</v>
      </c>
      <c r="B77" s="87"/>
      <c r="C77" s="85" t="s">
        <v>13</v>
      </c>
      <c r="D77" s="85" t="s">
        <v>22</v>
      </c>
      <c r="E77" s="89">
        <f>32274</f>
        <v>32274</v>
      </c>
      <c r="F77" s="89"/>
      <c r="G77" s="95">
        <f t="shared" si="0"/>
        <v>32136589.771250181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</row>
    <row r="78" spans="1:133" s="75" customFormat="1" ht="15.75" x14ac:dyDescent="0.25">
      <c r="A78" s="86" t="s">
        <v>147</v>
      </c>
      <c r="B78" s="87"/>
      <c r="C78" s="85" t="s">
        <v>13</v>
      </c>
      <c r="D78" s="85" t="s">
        <v>48</v>
      </c>
      <c r="E78" s="89">
        <v>709.78</v>
      </c>
      <c r="F78" s="89">
        <f>E78*0.025</f>
        <v>17.744499999999999</v>
      </c>
      <c r="G78" s="95">
        <f t="shared" ref="G78:G133" si="1">G77+E78-F78</f>
        <v>32137281.806750182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</row>
    <row r="79" spans="1:133" s="75" customFormat="1" ht="15.75" x14ac:dyDescent="0.25">
      <c r="A79" s="86" t="s">
        <v>147</v>
      </c>
      <c r="B79" s="87"/>
      <c r="C79" s="85" t="s">
        <v>13</v>
      </c>
      <c r="D79" s="85" t="s">
        <v>48</v>
      </c>
      <c r="E79" s="89">
        <v>135</v>
      </c>
      <c r="F79" s="89">
        <f>E79*0.025</f>
        <v>3.375</v>
      </c>
      <c r="G79" s="95">
        <f t="shared" si="1"/>
        <v>32137413.431750182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</row>
    <row r="80" spans="1:133" s="75" customFormat="1" ht="15.75" x14ac:dyDescent="0.25">
      <c r="A80" s="86" t="s">
        <v>147</v>
      </c>
      <c r="B80" s="87"/>
      <c r="C80" s="85" t="s">
        <v>13</v>
      </c>
      <c r="D80" s="85" t="s">
        <v>48</v>
      </c>
      <c r="E80" s="89">
        <v>622</v>
      </c>
      <c r="F80" s="89">
        <f>E80*0.025</f>
        <v>15.55</v>
      </c>
      <c r="G80" s="95">
        <f t="shared" si="1"/>
        <v>32138019.881750181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</row>
    <row r="81" spans="1:133" s="75" customFormat="1" ht="15.75" x14ac:dyDescent="0.25">
      <c r="A81" s="86" t="s">
        <v>147</v>
      </c>
      <c r="B81" s="87"/>
      <c r="C81" s="85" t="s">
        <v>13</v>
      </c>
      <c r="D81" s="85" t="s">
        <v>48</v>
      </c>
      <c r="E81" s="89">
        <v>600</v>
      </c>
      <c r="F81" s="89">
        <f>E81*0.025</f>
        <v>15</v>
      </c>
      <c r="G81" s="94">
        <f t="shared" si="1"/>
        <v>32138604.881750181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</row>
    <row r="82" spans="1:133" s="75" customFormat="1" ht="15.75" x14ac:dyDescent="0.25">
      <c r="A82" s="86" t="s">
        <v>149</v>
      </c>
      <c r="B82" s="87"/>
      <c r="C82" s="85" t="s">
        <v>13</v>
      </c>
      <c r="D82" s="85" t="s">
        <v>22</v>
      </c>
      <c r="E82" s="89">
        <v>17030</v>
      </c>
      <c r="F82" s="89"/>
      <c r="G82" s="95">
        <f t="shared" si="1"/>
        <v>32155634.881750181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</row>
    <row r="83" spans="1:133" s="75" customFormat="1" ht="15.75" x14ac:dyDescent="0.25">
      <c r="A83" s="86" t="s">
        <v>149</v>
      </c>
      <c r="B83" s="87"/>
      <c r="C83" s="85" t="s">
        <v>13</v>
      </c>
      <c r="D83" s="85" t="s">
        <v>48</v>
      </c>
      <c r="E83" s="89">
        <v>3000</v>
      </c>
      <c r="F83" s="89">
        <f>E83*0.025</f>
        <v>75</v>
      </c>
      <c r="G83" s="95">
        <f t="shared" si="1"/>
        <v>32158559.881750181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</row>
    <row r="84" spans="1:133" s="75" customFormat="1" ht="15.75" x14ac:dyDescent="0.25">
      <c r="A84" s="86" t="s">
        <v>149</v>
      </c>
      <c r="B84" s="87"/>
      <c r="C84" s="85" t="s">
        <v>13</v>
      </c>
      <c r="D84" s="85" t="s">
        <v>48</v>
      </c>
      <c r="E84" s="89">
        <v>705</v>
      </c>
      <c r="F84" s="89">
        <f>E84*0.025</f>
        <v>17.625</v>
      </c>
      <c r="G84" s="95">
        <f t="shared" si="1"/>
        <v>32159247.256750181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</row>
    <row r="85" spans="1:133" s="75" customFormat="1" ht="15.75" x14ac:dyDescent="0.25">
      <c r="A85" s="86" t="s">
        <v>149</v>
      </c>
      <c r="B85" s="87"/>
      <c r="C85" s="85" t="s">
        <v>13</v>
      </c>
      <c r="D85" s="85" t="s">
        <v>48</v>
      </c>
      <c r="E85" s="89">
        <v>907</v>
      </c>
      <c r="F85" s="89">
        <f>E85*0.025</f>
        <v>22.675000000000001</v>
      </c>
      <c r="G85" s="95">
        <f t="shared" si="1"/>
        <v>32160131.581750181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</row>
    <row r="86" spans="1:133" s="75" customFormat="1" ht="15.75" x14ac:dyDescent="0.25">
      <c r="A86" s="86" t="s">
        <v>149</v>
      </c>
      <c r="B86" s="87"/>
      <c r="C86" s="85" t="s">
        <v>13</v>
      </c>
      <c r="D86" s="85" t="s">
        <v>48</v>
      </c>
      <c r="E86" s="89">
        <v>1400</v>
      </c>
      <c r="F86" s="89">
        <f>E86*0.025</f>
        <v>35</v>
      </c>
      <c r="G86" s="95">
        <f t="shared" si="1"/>
        <v>32161496.581750181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</row>
    <row r="87" spans="1:133" s="75" customFormat="1" ht="15.75" x14ac:dyDescent="0.25">
      <c r="A87" s="86" t="s">
        <v>149</v>
      </c>
      <c r="B87" s="87"/>
      <c r="C87" s="85" t="s">
        <v>73</v>
      </c>
      <c r="D87" s="85" t="s">
        <v>23</v>
      </c>
      <c r="E87" s="89">
        <v>115371.5</v>
      </c>
      <c r="F87" s="89"/>
      <c r="G87" s="95">
        <f t="shared" si="1"/>
        <v>32276868.081750181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</row>
    <row r="88" spans="1:133" s="75" customFormat="1" ht="15.75" x14ac:dyDescent="0.25">
      <c r="A88" s="86" t="s">
        <v>149</v>
      </c>
      <c r="B88" s="87"/>
      <c r="C88" s="85" t="s">
        <v>73</v>
      </c>
      <c r="D88" s="85" t="s">
        <v>23</v>
      </c>
      <c r="E88" s="89">
        <f>19712</f>
        <v>19712</v>
      </c>
      <c r="F88" s="89"/>
      <c r="G88" s="95">
        <f t="shared" si="1"/>
        <v>32296580.081750181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</row>
    <row r="89" spans="1:133" s="75" customFormat="1" ht="15.75" x14ac:dyDescent="0.25">
      <c r="A89" s="86" t="s">
        <v>149</v>
      </c>
      <c r="B89" s="87"/>
      <c r="C89" s="85" t="s">
        <v>73</v>
      </c>
      <c r="D89" s="85" t="s">
        <v>77</v>
      </c>
      <c r="E89" s="89">
        <v>75862.710000000006</v>
      </c>
      <c r="F89" s="89"/>
      <c r="G89" s="95">
        <f t="shared" si="1"/>
        <v>32372442.791750181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</row>
    <row r="90" spans="1:133" s="75" customFormat="1" ht="15.75" x14ac:dyDescent="0.25">
      <c r="A90" s="86" t="s">
        <v>149</v>
      </c>
      <c r="B90" s="87"/>
      <c r="C90" s="85" t="s">
        <v>73</v>
      </c>
      <c r="D90" s="85" t="s">
        <v>150</v>
      </c>
      <c r="E90" s="89">
        <v>3000</v>
      </c>
      <c r="F90" s="89"/>
      <c r="G90" s="94">
        <f t="shared" si="1"/>
        <v>32375442.791750181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</row>
    <row r="91" spans="1:133" s="75" customFormat="1" ht="15.75" x14ac:dyDescent="0.25">
      <c r="A91" s="86" t="s">
        <v>151</v>
      </c>
      <c r="B91" s="87"/>
      <c r="C91" s="85" t="s">
        <v>13</v>
      </c>
      <c r="D91" s="85" t="s">
        <v>22</v>
      </c>
      <c r="E91" s="89">
        <v>23895</v>
      </c>
      <c r="F91" s="89"/>
      <c r="G91" s="95">
        <f t="shared" si="1"/>
        <v>32399337.791750181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</row>
    <row r="92" spans="1:133" s="75" customFormat="1" ht="15.75" x14ac:dyDescent="0.25">
      <c r="A92" s="86" t="s">
        <v>151</v>
      </c>
      <c r="B92" s="87"/>
      <c r="C92" s="85" t="s">
        <v>13</v>
      </c>
      <c r="D92" s="85" t="s">
        <v>48</v>
      </c>
      <c r="E92" s="89">
        <v>15014</v>
      </c>
      <c r="F92" s="89">
        <f>E92*0.025</f>
        <v>375.35</v>
      </c>
      <c r="G92" s="95">
        <f t="shared" si="1"/>
        <v>32413976.44175018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</row>
    <row r="93" spans="1:133" s="75" customFormat="1" ht="15.75" x14ac:dyDescent="0.25">
      <c r="A93" s="86" t="s">
        <v>151</v>
      </c>
      <c r="B93" s="87"/>
      <c r="C93" s="85" t="s">
        <v>73</v>
      </c>
      <c r="D93" s="85" t="s">
        <v>26</v>
      </c>
      <c r="E93" s="89">
        <v>2004807.6</v>
      </c>
      <c r="F93" s="89"/>
      <c r="G93" s="95">
        <f t="shared" si="1"/>
        <v>34418784.041750178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</row>
    <row r="94" spans="1:133" s="75" customFormat="1" ht="15.75" x14ac:dyDescent="0.25">
      <c r="A94" s="86" t="s">
        <v>151</v>
      </c>
      <c r="B94" s="87"/>
      <c r="C94" s="85" t="s">
        <v>73</v>
      </c>
      <c r="D94" s="85" t="s">
        <v>26</v>
      </c>
      <c r="E94" s="89">
        <v>1033490.98</v>
      </c>
      <c r="F94" s="89"/>
      <c r="G94" s="95">
        <f t="shared" si="1"/>
        <v>35452275.021750174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</row>
    <row r="95" spans="1:133" s="75" customFormat="1" ht="15.75" x14ac:dyDescent="0.25">
      <c r="A95" s="86" t="s">
        <v>151</v>
      </c>
      <c r="B95" s="87"/>
      <c r="C95" s="85" t="s">
        <v>73</v>
      </c>
      <c r="D95" s="85" t="s">
        <v>24</v>
      </c>
      <c r="E95" s="89">
        <v>400971.59</v>
      </c>
      <c r="F95" s="89"/>
      <c r="G95" s="95">
        <f t="shared" si="1"/>
        <v>35853246.611750178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</row>
    <row r="96" spans="1:133" s="75" customFormat="1" ht="15.75" x14ac:dyDescent="0.25">
      <c r="A96" s="86" t="s">
        <v>151</v>
      </c>
      <c r="B96" s="87"/>
      <c r="C96" s="85" t="s">
        <v>73</v>
      </c>
      <c r="D96" s="85" t="s">
        <v>49</v>
      </c>
      <c r="E96" s="89">
        <v>63796.62</v>
      </c>
      <c r="F96" s="89"/>
      <c r="G96" s="95">
        <f t="shared" si="1"/>
        <v>35917043.231750175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</row>
    <row r="97" spans="1:133" s="75" customFormat="1" ht="15.75" x14ac:dyDescent="0.25">
      <c r="A97" s="86" t="s">
        <v>151</v>
      </c>
      <c r="B97" s="87"/>
      <c r="C97" s="85" t="s">
        <v>73</v>
      </c>
      <c r="D97" s="85" t="s">
        <v>23</v>
      </c>
      <c r="E97" s="89">
        <v>6488</v>
      </c>
      <c r="F97" s="89"/>
      <c r="G97" s="95">
        <f t="shared" si="1"/>
        <v>35923531.231750175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</row>
    <row r="98" spans="1:133" s="75" customFormat="1" ht="15.75" x14ac:dyDescent="0.25">
      <c r="A98" s="86" t="s">
        <v>151</v>
      </c>
      <c r="B98" s="87"/>
      <c r="C98" s="85" t="s">
        <v>73</v>
      </c>
      <c r="D98" s="85" t="s">
        <v>69</v>
      </c>
      <c r="E98" s="89">
        <v>2519001.5499999998</v>
      </c>
      <c r="F98" s="89"/>
      <c r="G98" s="95">
        <f t="shared" si="1"/>
        <v>38442532.781750172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</row>
    <row r="99" spans="1:133" s="75" customFormat="1" ht="15.75" x14ac:dyDescent="0.25">
      <c r="A99" s="86" t="s">
        <v>151</v>
      </c>
      <c r="B99" s="87"/>
      <c r="C99" s="85" t="s">
        <v>73</v>
      </c>
      <c r="D99" s="85" t="s">
        <v>98</v>
      </c>
      <c r="E99" s="89">
        <v>490742.18</v>
      </c>
      <c r="F99" s="89"/>
      <c r="G99" s="94">
        <f t="shared" si="1"/>
        <v>38933274.961750172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</row>
    <row r="100" spans="1:133" s="75" customFormat="1" ht="15.75" x14ac:dyDescent="0.25">
      <c r="A100" s="86" t="s">
        <v>152</v>
      </c>
      <c r="B100" s="87"/>
      <c r="C100" s="85" t="s">
        <v>13</v>
      </c>
      <c r="D100" s="85" t="s">
        <v>22</v>
      </c>
      <c r="E100" s="89">
        <f>20702</f>
        <v>20702</v>
      </c>
      <c r="F100" s="89"/>
      <c r="G100" s="95">
        <f t="shared" si="1"/>
        <v>38953976.961750172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</row>
    <row r="101" spans="1:133" s="75" customFormat="1" ht="15.75" x14ac:dyDescent="0.25">
      <c r="A101" s="86" t="s">
        <v>152</v>
      </c>
      <c r="B101" s="87"/>
      <c r="C101" s="85" t="s">
        <v>13</v>
      </c>
      <c r="D101" s="85" t="s">
        <v>48</v>
      </c>
      <c r="E101" s="89">
        <f>200</f>
        <v>200</v>
      </c>
      <c r="F101" s="89">
        <f>E101*0.025</f>
        <v>5</v>
      </c>
      <c r="G101" s="95">
        <f t="shared" si="1"/>
        <v>38954171.961750172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</row>
    <row r="102" spans="1:133" s="75" customFormat="1" ht="31.5" x14ac:dyDescent="0.25">
      <c r="A102" s="86" t="s">
        <v>152</v>
      </c>
      <c r="B102" s="87" t="s">
        <v>153</v>
      </c>
      <c r="C102" s="85" t="s">
        <v>34</v>
      </c>
      <c r="D102" s="85" t="s">
        <v>154</v>
      </c>
      <c r="E102" s="89"/>
      <c r="F102" s="89">
        <v>8977.5</v>
      </c>
      <c r="G102" s="95">
        <f t="shared" si="1"/>
        <v>38945194.461750172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</row>
    <row r="103" spans="1:133" s="75" customFormat="1" ht="15.75" x14ac:dyDescent="0.25">
      <c r="A103" s="86" t="s">
        <v>152</v>
      </c>
      <c r="B103" s="87" t="s">
        <v>153</v>
      </c>
      <c r="C103" s="85" t="s">
        <v>34</v>
      </c>
      <c r="D103" s="85" t="s">
        <v>167</v>
      </c>
      <c r="E103" s="89"/>
      <c r="F103" s="89">
        <f>472.5</f>
        <v>472.5</v>
      </c>
      <c r="G103" s="95">
        <f t="shared" si="1"/>
        <v>38944721.961750172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</row>
    <row r="104" spans="1:133" s="75" customFormat="1" ht="31.5" x14ac:dyDescent="0.25">
      <c r="A104" s="86" t="s">
        <v>152</v>
      </c>
      <c r="B104" s="87" t="s">
        <v>155</v>
      </c>
      <c r="C104" s="85" t="s">
        <v>156</v>
      </c>
      <c r="D104" s="85" t="s">
        <v>157</v>
      </c>
      <c r="E104" s="89"/>
      <c r="F104" s="89">
        <v>481119</v>
      </c>
      <c r="G104" s="95">
        <f t="shared" si="1"/>
        <v>38463602.961750172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</row>
    <row r="105" spans="1:133" s="75" customFormat="1" ht="15.75" x14ac:dyDescent="0.25">
      <c r="A105" s="86" t="s">
        <v>152</v>
      </c>
      <c r="B105" s="87" t="s">
        <v>155</v>
      </c>
      <c r="C105" s="85" t="s">
        <v>156</v>
      </c>
      <c r="D105" s="85" t="s">
        <v>167</v>
      </c>
      <c r="E105" s="89"/>
      <c r="F105" s="89">
        <f>24315</f>
        <v>24315</v>
      </c>
      <c r="G105" s="95">
        <f t="shared" si="1"/>
        <v>38439287.961750172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</row>
    <row r="106" spans="1:133" s="75" customFormat="1" ht="31.5" x14ac:dyDescent="0.25">
      <c r="A106" s="86" t="s">
        <v>152</v>
      </c>
      <c r="B106" s="87" t="s">
        <v>158</v>
      </c>
      <c r="C106" s="85" t="s">
        <v>159</v>
      </c>
      <c r="D106" s="85" t="s">
        <v>160</v>
      </c>
      <c r="E106" s="89"/>
      <c r="F106" s="89">
        <v>405080</v>
      </c>
      <c r="G106" s="95">
        <f t="shared" si="1"/>
        <v>38034207.961750172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</row>
    <row r="107" spans="1:133" s="75" customFormat="1" ht="15.75" x14ac:dyDescent="0.25">
      <c r="A107" s="86" t="s">
        <v>152</v>
      </c>
      <c r="B107" s="87" t="s">
        <v>158</v>
      </c>
      <c r="C107" s="85" t="s">
        <v>159</v>
      </c>
      <c r="D107" s="85" t="s">
        <v>167</v>
      </c>
      <c r="E107" s="89"/>
      <c r="F107" s="89">
        <v>21320</v>
      </c>
      <c r="G107" s="95">
        <f t="shared" si="1"/>
        <v>38012887.961750172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</row>
    <row r="108" spans="1:133" s="75" customFormat="1" ht="31.5" x14ac:dyDescent="0.25">
      <c r="A108" s="86" t="s">
        <v>152</v>
      </c>
      <c r="B108" s="87" t="s">
        <v>161</v>
      </c>
      <c r="C108" s="85" t="s">
        <v>162</v>
      </c>
      <c r="D108" s="85" t="s">
        <v>163</v>
      </c>
      <c r="E108" s="89"/>
      <c r="F108" s="89">
        <v>681614.03</v>
      </c>
      <c r="G108" s="95">
        <f t="shared" si="1"/>
        <v>37331273.931750171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</row>
    <row r="109" spans="1:133" s="75" customFormat="1" ht="31.5" x14ac:dyDescent="0.25">
      <c r="A109" s="86" t="s">
        <v>152</v>
      </c>
      <c r="B109" s="87" t="s">
        <v>161</v>
      </c>
      <c r="C109" s="85" t="s">
        <v>162</v>
      </c>
      <c r="D109" s="85" t="s">
        <v>167</v>
      </c>
      <c r="E109" s="89"/>
      <c r="F109" s="89">
        <f>34510.21</f>
        <v>34510.21</v>
      </c>
      <c r="G109" s="95">
        <f t="shared" si="1"/>
        <v>37296763.72175017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</row>
    <row r="110" spans="1:133" s="75" customFormat="1" ht="47.25" x14ac:dyDescent="0.25">
      <c r="A110" s="86" t="s">
        <v>152</v>
      </c>
      <c r="B110" s="87" t="s">
        <v>164</v>
      </c>
      <c r="C110" s="85" t="s">
        <v>165</v>
      </c>
      <c r="D110" s="85" t="s">
        <v>166</v>
      </c>
      <c r="E110" s="89"/>
      <c r="F110" s="89">
        <v>172593.75</v>
      </c>
      <c r="G110" s="95">
        <f t="shared" si="1"/>
        <v>37124169.97175017</v>
      </c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</row>
    <row r="111" spans="1:133" s="75" customFormat="1" ht="15.75" x14ac:dyDescent="0.25">
      <c r="A111" s="86" t="s">
        <v>152</v>
      </c>
      <c r="B111" s="87" t="s">
        <v>164</v>
      </c>
      <c r="C111" s="85" t="s">
        <v>165</v>
      </c>
      <c r="D111" s="85" t="s">
        <v>168</v>
      </c>
      <c r="E111" s="89"/>
      <c r="F111" s="89">
        <f>8661.77+8020.16</f>
        <v>16681.93</v>
      </c>
      <c r="G111" s="94">
        <f t="shared" si="1"/>
        <v>37107488.04175017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</row>
    <row r="112" spans="1:133" s="75" customFormat="1" ht="15.75" x14ac:dyDescent="0.25">
      <c r="A112" s="86" t="s">
        <v>169</v>
      </c>
      <c r="B112" s="87"/>
      <c r="C112" s="85" t="s">
        <v>13</v>
      </c>
      <c r="D112" s="85" t="s">
        <v>22</v>
      </c>
      <c r="E112" s="89">
        <f>70815</f>
        <v>70815</v>
      </c>
      <c r="F112" s="89"/>
      <c r="G112" s="95">
        <f t="shared" si="1"/>
        <v>37178303.04175017</v>
      </c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</row>
    <row r="113" spans="1:133" s="75" customFormat="1" ht="15.75" x14ac:dyDescent="0.25">
      <c r="A113" s="86" t="s">
        <v>169</v>
      </c>
      <c r="B113" s="87"/>
      <c r="C113" s="85" t="s">
        <v>13</v>
      </c>
      <c r="D113" s="85" t="s">
        <v>48</v>
      </c>
      <c r="E113" s="89">
        <v>13658.48</v>
      </c>
      <c r="F113" s="89">
        <f>E113*0.025</f>
        <v>341.46199999999999</v>
      </c>
      <c r="G113" s="95">
        <f t="shared" si="1"/>
        <v>37191620.05975017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</row>
    <row r="114" spans="1:133" s="75" customFormat="1" ht="15.75" x14ac:dyDescent="0.25">
      <c r="A114" s="86" t="s">
        <v>169</v>
      </c>
      <c r="B114" s="87" t="s">
        <v>170</v>
      </c>
      <c r="C114" s="85" t="s">
        <v>47</v>
      </c>
      <c r="D114" s="85" t="s">
        <v>171</v>
      </c>
      <c r="E114" s="89"/>
      <c r="F114" s="89">
        <f>18000</f>
        <v>18000</v>
      </c>
      <c r="G114" s="95">
        <f t="shared" si="1"/>
        <v>37173620.05975017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</row>
    <row r="115" spans="1:133" s="75" customFormat="1" ht="15.75" x14ac:dyDescent="0.25">
      <c r="A115" s="86" t="s">
        <v>169</v>
      </c>
      <c r="B115" s="87" t="s">
        <v>170</v>
      </c>
      <c r="C115" s="85" t="s">
        <v>47</v>
      </c>
      <c r="D115" s="85" t="s">
        <v>181</v>
      </c>
      <c r="E115" s="89"/>
      <c r="F115" s="89">
        <f>3600+2000</f>
        <v>5600</v>
      </c>
      <c r="G115" s="95">
        <f t="shared" si="1"/>
        <v>37168020.05975017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</row>
    <row r="116" spans="1:133" s="75" customFormat="1" ht="31.5" x14ac:dyDescent="0.25">
      <c r="A116" s="86" t="s">
        <v>169</v>
      </c>
      <c r="B116" s="87" t="s">
        <v>172</v>
      </c>
      <c r="C116" s="85" t="s">
        <v>104</v>
      </c>
      <c r="D116" s="85" t="s">
        <v>173</v>
      </c>
      <c r="E116" s="89"/>
      <c r="F116" s="89">
        <v>23000</v>
      </c>
      <c r="G116" s="95">
        <f t="shared" si="1"/>
        <v>37145020.05975017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</row>
    <row r="117" spans="1:133" s="75" customFormat="1" ht="31.5" x14ac:dyDescent="0.25">
      <c r="A117" s="86" t="s">
        <v>169</v>
      </c>
      <c r="B117" s="87" t="s">
        <v>174</v>
      </c>
      <c r="C117" s="85" t="s">
        <v>78</v>
      </c>
      <c r="D117" s="85" t="s">
        <v>175</v>
      </c>
      <c r="E117" s="89"/>
      <c r="F117" s="89">
        <v>893760</v>
      </c>
      <c r="G117" s="95">
        <f t="shared" si="1"/>
        <v>36251260.05975017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</row>
    <row r="118" spans="1:133" s="75" customFormat="1" ht="31.5" x14ac:dyDescent="0.25">
      <c r="A118" s="86" t="s">
        <v>169</v>
      </c>
      <c r="B118" s="87" t="s">
        <v>174</v>
      </c>
      <c r="C118" s="85" t="s">
        <v>78</v>
      </c>
      <c r="D118" s="85" t="s">
        <v>182</v>
      </c>
      <c r="E118" s="89"/>
      <c r="F118" s="89">
        <f>47040</f>
        <v>47040</v>
      </c>
      <c r="G118" s="95">
        <f t="shared" si="1"/>
        <v>36204220.05975017</v>
      </c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</row>
    <row r="119" spans="1:133" s="75" customFormat="1" ht="31.5" x14ac:dyDescent="0.25">
      <c r="A119" s="86" t="s">
        <v>169</v>
      </c>
      <c r="B119" s="87" t="s">
        <v>176</v>
      </c>
      <c r="C119" s="85" t="s">
        <v>92</v>
      </c>
      <c r="D119" s="85" t="s">
        <v>177</v>
      </c>
      <c r="E119" s="89"/>
      <c r="F119" s="89">
        <v>1027848</v>
      </c>
      <c r="G119" s="95">
        <f t="shared" si="1"/>
        <v>35176372.05975017</v>
      </c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</row>
    <row r="120" spans="1:133" s="75" customFormat="1" ht="15.75" x14ac:dyDescent="0.25">
      <c r="A120" s="86" t="s">
        <v>169</v>
      </c>
      <c r="B120" s="87" t="s">
        <v>176</v>
      </c>
      <c r="C120" s="85" t="s">
        <v>92</v>
      </c>
      <c r="D120" s="85" t="s">
        <v>138</v>
      </c>
      <c r="E120" s="89"/>
      <c r="F120" s="89">
        <f>45480</f>
        <v>45480</v>
      </c>
      <c r="G120" s="95">
        <f t="shared" si="1"/>
        <v>35130892.05975017</v>
      </c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</row>
    <row r="121" spans="1:133" s="75" customFormat="1" ht="30.75" customHeight="1" x14ac:dyDescent="0.25">
      <c r="A121" s="86" t="s">
        <v>169</v>
      </c>
      <c r="B121" s="87" t="s">
        <v>178</v>
      </c>
      <c r="C121" s="85" t="s">
        <v>179</v>
      </c>
      <c r="D121" s="85" t="s">
        <v>180</v>
      </c>
      <c r="E121" s="89"/>
      <c r="F121" s="89">
        <v>419651.63</v>
      </c>
      <c r="G121" s="95">
        <f t="shared" si="1"/>
        <v>34711240.429750167</v>
      </c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</row>
    <row r="122" spans="1:133" s="75" customFormat="1" ht="20.25" customHeight="1" x14ac:dyDescent="0.25">
      <c r="A122" s="86" t="s">
        <v>169</v>
      </c>
      <c r="B122" s="87" t="s">
        <v>178</v>
      </c>
      <c r="C122" s="85" t="s">
        <v>179</v>
      </c>
      <c r="D122" s="85" t="s">
        <v>138</v>
      </c>
      <c r="E122" s="89"/>
      <c r="F122" s="89">
        <f>18568.66</f>
        <v>18568.66</v>
      </c>
      <c r="G122" s="95">
        <f t="shared" si="1"/>
        <v>34692671.76975017</v>
      </c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</row>
    <row r="123" spans="1:133" s="75" customFormat="1" ht="18" customHeight="1" x14ac:dyDescent="0.25">
      <c r="A123" s="86" t="s">
        <v>169</v>
      </c>
      <c r="B123" s="87" t="s">
        <v>183</v>
      </c>
      <c r="C123" s="85" t="s">
        <v>32</v>
      </c>
      <c r="D123" s="85" t="s">
        <v>184</v>
      </c>
      <c r="E123" s="89">
        <f>30286422.09</f>
        <v>30286422.09</v>
      </c>
      <c r="F123" s="89"/>
      <c r="G123" s="95">
        <f t="shared" si="1"/>
        <v>64979093.859750167</v>
      </c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</row>
    <row r="124" spans="1:133" s="75" customFormat="1" ht="31.5" x14ac:dyDescent="0.25">
      <c r="A124" s="86" t="s">
        <v>169</v>
      </c>
      <c r="B124" s="87" t="s">
        <v>183</v>
      </c>
      <c r="C124" s="85" t="s">
        <v>32</v>
      </c>
      <c r="D124" s="85" t="s">
        <v>185</v>
      </c>
      <c r="E124" s="89"/>
      <c r="F124" s="89">
        <f>23410940.41</f>
        <v>23410940.41</v>
      </c>
      <c r="G124" s="95">
        <f t="shared" si="1"/>
        <v>41568153.44975017</v>
      </c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</row>
    <row r="125" spans="1:133" s="75" customFormat="1" ht="31.5" x14ac:dyDescent="0.25">
      <c r="A125" s="86" t="s">
        <v>169</v>
      </c>
      <c r="B125" s="87" t="s">
        <v>183</v>
      </c>
      <c r="C125" s="85" t="s">
        <v>32</v>
      </c>
      <c r="D125" s="85" t="s">
        <v>186</v>
      </c>
      <c r="E125" s="89"/>
      <c r="F125" s="89">
        <v>2847172.06</v>
      </c>
      <c r="G125" s="95">
        <f t="shared" si="1"/>
        <v>38720981.389750168</v>
      </c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</row>
    <row r="126" spans="1:133" s="75" customFormat="1" ht="31.5" x14ac:dyDescent="0.25">
      <c r="A126" s="86" t="s">
        <v>169</v>
      </c>
      <c r="B126" s="87" t="s">
        <v>183</v>
      </c>
      <c r="C126" s="85" t="s">
        <v>32</v>
      </c>
      <c r="D126" s="85" t="s">
        <v>187</v>
      </c>
      <c r="E126" s="89"/>
      <c r="F126" s="89">
        <f>1861700.53+1864326.58</f>
        <v>3726027.1100000003</v>
      </c>
      <c r="G126" s="95">
        <f t="shared" si="1"/>
        <v>34994954.279750168</v>
      </c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</row>
    <row r="127" spans="1:133" s="75" customFormat="1" ht="31.5" x14ac:dyDescent="0.25">
      <c r="A127" s="86" t="s">
        <v>169</v>
      </c>
      <c r="B127" s="87" t="s">
        <v>183</v>
      </c>
      <c r="C127" s="85" t="s">
        <v>32</v>
      </c>
      <c r="D127" s="85" t="s">
        <v>103</v>
      </c>
      <c r="E127" s="89"/>
      <c r="F127" s="89">
        <f>301648.4</f>
        <v>301648.40000000002</v>
      </c>
      <c r="G127" s="95">
        <f t="shared" si="1"/>
        <v>34693305.87975017</v>
      </c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</row>
    <row r="128" spans="1:133" s="75" customFormat="1" ht="31.5" x14ac:dyDescent="0.25">
      <c r="A128" s="86" t="s">
        <v>169</v>
      </c>
      <c r="B128" s="87" t="s">
        <v>188</v>
      </c>
      <c r="C128" s="85" t="s">
        <v>32</v>
      </c>
      <c r="D128" s="85" t="s">
        <v>194</v>
      </c>
      <c r="E128" s="89"/>
      <c r="F128" s="89">
        <v>8381979.6500000004</v>
      </c>
      <c r="G128" s="95">
        <f t="shared" si="1"/>
        <v>26311326.229750171</v>
      </c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</row>
    <row r="129" spans="1:133" s="75" customFormat="1" ht="31.5" x14ac:dyDescent="0.25">
      <c r="A129" s="86" t="s">
        <v>169</v>
      </c>
      <c r="B129" s="87" t="s">
        <v>188</v>
      </c>
      <c r="C129" s="85" t="s">
        <v>32</v>
      </c>
      <c r="D129" s="85" t="s">
        <v>195</v>
      </c>
      <c r="E129" s="89"/>
      <c r="F129" s="89">
        <v>873615.02</v>
      </c>
      <c r="G129" s="95">
        <f t="shared" si="1"/>
        <v>25437711.209750172</v>
      </c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</row>
    <row r="130" spans="1:133" s="75" customFormat="1" ht="31.5" x14ac:dyDescent="0.25">
      <c r="A130" s="86" t="s">
        <v>169</v>
      </c>
      <c r="B130" s="87" t="s">
        <v>188</v>
      </c>
      <c r="C130" s="85" t="s">
        <v>32</v>
      </c>
      <c r="D130" s="85" t="s">
        <v>187</v>
      </c>
      <c r="E130" s="89"/>
      <c r="F130" s="89">
        <f>657147.51+656222.09</f>
        <v>1313369.6000000001</v>
      </c>
      <c r="G130" s="95">
        <f t="shared" si="1"/>
        <v>24124341.60975017</v>
      </c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</row>
    <row r="131" spans="1:133" s="75" customFormat="1" ht="31.5" x14ac:dyDescent="0.25">
      <c r="A131" s="86" t="s">
        <v>169</v>
      </c>
      <c r="B131" s="87" t="s">
        <v>188</v>
      </c>
      <c r="C131" s="85" t="s">
        <v>32</v>
      </c>
      <c r="D131" s="85" t="s">
        <v>193</v>
      </c>
      <c r="E131" s="89"/>
      <c r="F131" s="89">
        <f>107017.5</f>
        <v>107017.5</v>
      </c>
      <c r="G131" s="95">
        <f t="shared" si="1"/>
        <v>24017324.10975017</v>
      </c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</row>
    <row r="132" spans="1:133" s="75" customFormat="1" ht="15.75" customHeight="1" x14ac:dyDescent="0.25">
      <c r="A132" s="86" t="s">
        <v>169</v>
      </c>
      <c r="B132" s="87" t="s">
        <v>189</v>
      </c>
      <c r="C132" s="85" t="s">
        <v>32</v>
      </c>
      <c r="D132" s="85" t="s">
        <v>191</v>
      </c>
      <c r="E132" s="89"/>
      <c r="F132" s="89">
        <v>78000</v>
      </c>
      <c r="G132" s="95">
        <f t="shared" si="1"/>
        <v>23939324.10975017</v>
      </c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</row>
    <row r="133" spans="1:133" s="75" customFormat="1" ht="18" customHeight="1" x14ac:dyDescent="0.25">
      <c r="A133" s="86" t="s">
        <v>169</v>
      </c>
      <c r="B133" s="87" t="s">
        <v>190</v>
      </c>
      <c r="C133" s="85" t="s">
        <v>32</v>
      </c>
      <c r="D133" s="85" t="s">
        <v>192</v>
      </c>
      <c r="E133" s="89"/>
      <c r="F133" s="89">
        <v>1401475.44</v>
      </c>
      <c r="G133" s="95">
        <f t="shared" si="1"/>
        <v>22537848.669750169</v>
      </c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</row>
    <row r="134" spans="1:133" s="75" customFormat="1" ht="31.5" x14ac:dyDescent="0.25">
      <c r="A134" s="86" t="s">
        <v>169</v>
      </c>
      <c r="B134" s="87" t="s">
        <v>190</v>
      </c>
      <c r="C134" s="85" t="s">
        <v>32</v>
      </c>
      <c r="D134" s="85" t="s">
        <v>195</v>
      </c>
      <c r="E134" s="89"/>
      <c r="F134" s="89">
        <v>155719.49</v>
      </c>
      <c r="G134" s="94">
        <f>G133+E134-F134</f>
        <v>22382129.179750171</v>
      </c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</row>
    <row r="135" spans="1:133" s="75" customFormat="1" ht="15.75" x14ac:dyDescent="0.25">
      <c r="A135" s="86" t="s">
        <v>196</v>
      </c>
      <c r="B135" s="87"/>
      <c r="C135" s="85" t="s">
        <v>13</v>
      </c>
      <c r="D135" s="85" t="s">
        <v>22</v>
      </c>
      <c r="E135" s="89">
        <v>47230</v>
      </c>
      <c r="F135" s="89"/>
      <c r="G135" s="95">
        <f t="shared" ref="G135:G198" si="2">G134+E135-F135</f>
        <v>22429359.179750171</v>
      </c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</row>
    <row r="136" spans="1:133" s="75" customFormat="1" ht="15.75" x14ac:dyDescent="0.25">
      <c r="A136" s="86" t="s">
        <v>196</v>
      </c>
      <c r="B136" s="87"/>
      <c r="C136" s="85" t="s">
        <v>13</v>
      </c>
      <c r="D136" s="85" t="s">
        <v>48</v>
      </c>
      <c r="E136" s="89">
        <f>2122</f>
        <v>2122</v>
      </c>
      <c r="F136" s="89">
        <f>E136*0.025</f>
        <v>53.050000000000004</v>
      </c>
      <c r="G136" s="95">
        <f t="shared" si="2"/>
        <v>22431428.12975017</v>
      </c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</row>
    <row r="137" spans="1:133" s="75" customFormat="1" ht="31.5" x14ac:dyDescent="0.25">
      <c r="A137" s="86" t="s">
        <v>196</v>
      </c>
      <c r="B137" s="87" t="s">
        <v>197</v>
      </c>
      <c r="C137" s="85" t="s">
        <v>63</v>
      </c>
      <c r="D137" s="85" t="s">
        <v>198</v>
      </c>
      <c r="E137" s="89"/>
      <c r="F137" s="89">
        <v>785018.1</v>
      </c>
      <c r="G137" s="95">
        <f t="shared" si="2"/>
        <v>21646410.029750168</v>
      </c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</row>
    <row r="138" spans="1:133" s="75" customFormat="1" ht="15.75" x14ac:dyDescent="0.25">
      <c r="A138" s="86" t="s">
        <v>196</v>
      </c>
      <c r="B138" s="87" t="s">
        <v>197</v>
      </c>
      <c r="C138" s="85" t="s">
        <v>63</v>
      </c>
      <c r="D138" s="85" t="s">
        <v>234</v>
      </c>
      <c r="E138" s="89"/>
      <c r="F138" s="89">
        <f>80874.5</f>
        <v>80874.5</v>
      </c>
      <c r="G138" s="95">
        <f t="shared" si="2"/>
        <v>21565535.529750168</v>
      </c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</row>
    <row r="139" spans="1:133" s="75" customFormat="1" ht="15.75" x14ac:dyDescent="0.25">
      <c r="A139" s="86" t="s">
        <v>196</v>
      </c>
      <c r="B139" s="87" t="s">
        <v>199</v>
      </c>
      <c r="C139" s="85" t="s">
        <v>200</v>
      </c>
      <c r="D139" s="85" t="s">
        <v>201</v>
      </c>
      <c r="E139" s="89"/>
      <c r="F139" s="89">
        <v>605793</v>
      </c>
      <c r="G139" s="95">
        <f t="shared" si="2"/>
        <v>20959742.529750168</v>
      </c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</row>
    <row r="140" spans="1:133" s="75" customFormat="1" ht="15.75" x14ac:dyDescent="0.25">
      <c r="A140" s="86" t="s">
        <v>196</v>
      </c>
      <c r="B140" s="87" t="s">
        <v>199</v>
      </c>
      <c r="C140" s="85" t="s">
        <v>200</v>
      </c>
      <c r="D140" s="85" t="s">
        <v>138</v>
      </c>
      <c r="E140" s="89"/>
      <c r="F140" s="89">
        <v>26805</v>
      </c>
      <c r="G140" s="95">
        <f t="shared" si="2"/>
        <v>20932937.529750168</v>
      </c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</row>
    <row r="141" spans="1:133" s="75" customFormat="1" ht="15.75" x14ac:dyDescent="0.25">
      <c r="A141" s="86" t="s">
        <v>196</v>
      </c>
      <c r="B141" s="87" t="s">
        <v>202</v>
      </c>
      <c r="C141" s="85" t="s">
        <v>203</v>
      </c>
      <c r="D141" s="85" t="s">
        <v>204</v>
      </c>
      <c r="E141" s="89"/>
      <c r="F141" s="89">
        <v>412902</v>
      </c>
      <c r="G141" s="95">
        <f t="shared" si="2"/>
        <v>20520035.529750168</v>
      </c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</row>
    <row r="142" spans="1:133" s="75" customFormat="1" ht="15.75" x14ac:dyDescent="0.25">
      <c r="A142" s="86" t="s">
        <v>196</v>
      </c>
      <c r="B142" s="87" t="s">
        <v>202</v>
      </c>
      <c r="C142" s="85" t="s">
        <v>203</v>
      </c>
      <c r="D142" s="85" t="s">
        <v>138</v>
      </c>
      <c r="E142" s="89"/>
      <c r="F142" s="89">
        <v>18270</v>
      </c>
      <c r="G142" s="95">
        <f t="shared" si="2"/>
        <v>20501765.529750168</v>
      </c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</row>
    <row r="143" spans="1:133" s="75" customFormat="1" ht="31.5" x14ac:dyDescent="0.25">
      <c r="A143" s="86" t="s">
        <v>196</v>
      </c>
      <c r="B143" s="87" t="s">
        <v>205</v>
      </c>
      <c r="C143" s="85" t="s">
        <v>206</v>
      </c>
      <c r="D143" s="85" t="s">
        <v>207</v>
      </c>
      <c r="E143" s="89"/>
      <c r="F143" s="89">
        <v>16611</v>
      </c>
      <c r="G143" s="95">
        <f t="shared" si="2"/>
        <v>20485154.529750168</v>
      </c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</row>
    <row r="144" spans="1:133" s="75" customFormat="1" ht="31.5" x14ac:dyDescent="0.25">
      <c r="A144" s="86" t="s">
        <v>196</v>
      </c>
      <c r="B144" s="87" t="s">
        <v>205</v>
      </c>
      <c r="C144" s="85" t="s">
        <v>206</v>
      </c>
      <c r="D144" s="85" t="s">
        <v>138</v>
      </c>
      <c r="E144" s="89"/>
      <c r="F144" s="89">
        <v>735</v>
      </c>
      <c r="G144" s="95">
        <f t="shared" si="2"/>
        <v>20484419.529750168</v>
      </c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</row>
    <row r="145" spans="1:133" s="75" customFormat="1" ht="31.5" x14ac:dyDescent="0.25">
      <c r="A145" s="86" t="s">
        <v>196</v>
      </c>
      <c r="B145" s="87" t="s">
        <v>208</v>
      </c>
      <c r="C145" s="85" t="s">
        <v>209</v>
      </c>
      <c r="D145" s="85" t="s">
        <v>210</v>
      </c>
      <c r="E145" s="89"/>
      <c r="F145" s="89">
        <f>130290.5</f>
        <v>130290.5</v>
      </c>
      <c r="G145" s="95">
        <f t="shared" si="2"/>
        <v>20354129.029750168</v>
      </c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</row>
    <row r="146" spans="1:133" s="75" customFormat="1" ht="15.75" x14ac:dyDescent="0.25">
      <c r="A146" s="86" t="s">
        <v>196</v>
      </c>
      <c r="B146" s="87" t="s">
        <v>208</v>
      </c>
      <c r="C146" s="85" t="s">
        <v>209</v>
      </c>
      <c r="D146" s="85" t="s">
        <v>138</v>
      </c>
      <c r="E146" s="89"/>
      <c r="F146" s="89">
        <v>6239.54</v>
      </c>
      <c r="G146" s="95">
        <f t="shared" si="2"/>
        <v>20347889.489750169</v>
      </c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</row>
    <row r="147" spans="1:133" s="75" customFormat="1" ht="31.5" x14ac:dyDescent="0.25">
      <c r="A147" s="86" t="s">
        <v>196</v>
      </c>
      <c r="B147" s="87" t="s">
        <v>211</v>
      </c>
      <c r="C147" s="85" t="s">
        <v>58</v>
      </c>
      <c r="D147" s="85" t="s">
        <v>212</v>
      </c>
      <c r="E147" s="89"/>
      <c r="F147" s="89">
        <v>148561.60999999999</v>
      </c>
      <c r="G147" s="95">
        <f t="shared" si="2"/>
        <v>20199327.87975017</v>
      </c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</row>
    <row r="148" spans="1:133" s="75" customFormat="1" ht="16.5" customHeight="1" x14ac:dyDescent="0.25">
      <c r="A148" s="86" t="s">
        <v>196</v>
      </c>
      <c r="B148" s="87" t="s">
        <v>211</v>
      </c>
      <c r="C148" s="85" t="s">
        <v>58</v>
      </c>
      <c r="D148" s="85" t="s">
        <v>138</v>
      </c>
      <c r="E148" s="89"/>
      <c r="F148" s="89">
        <v>6640.34</v>
      </c>
      <c r="G148" s="94">
        <f t="shared" si="2"/>
        <v>20192687.53975017</v>
      </c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</row>
    <row r="149" spans="1:133" s="75" customFormat="1" ht="15.75" x14ac:dyDescent="0.25">
      <c r="A149" s="86" t="s">
        <v>213</v>
      </c>
      <c r="B149" s="87"/>
      <c r="C149" s="85" t="s">
        <v>13</v>
      </c>
      <c r="D149" s="85" t="s">
        <v>22</v>
      </c>
      <c r="E149" s="89">
        <f>29722</f>
        <v>29722</v>
      </c>
      <c r="F149" s="89"/>
      <c r="G149" s="95">
        <f t="shared" si="2"/>
        <v>20222409.53975017</v>
      </c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</row>
    <row r="150" spans="1:133" s="75" customFormat="1" ht="15.75" x14ac:dyDescent="0.25">
      <c r="A150" s="86" t="s">
        <v>213</v>
      </c>
      <c r="B150" s="87"/>
      <c r="C150" s="85" t="s">
        <v>13</v>
      </c>
      <c r="D150" s="85" t="s">
        <v>48</v>
      </c>
      <c r="E150" s="89">
        <f>1349</f>
        <v>1349</v>
      </c>
      <c r="F150" s="89">
        <f>E150*0.025</f>
        <v>33.725000000000001</v>
      </c>
      <c r="G150" s="95">
        <f t="shared" si="2"/>
        <v>20223724.814750168</v>
      </c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</row>
    <row r="151" spans="1:133" s="75" customFormat="1" ht="15.75" x14ac:dyDescent="0.25">
      <c r="A151" s="86" t="s">
        <v>213</v>
      </c>
      <c r="B151" s="87"/>
      <c r="C151" s="85" t="s">
        <v>73</v>
      </c>
      <c r="D151" s="85" t="s">
        <v>233</v>
      </c>
      <c r="E151" s="89">
        <v>53854.78</v>
      </c>
      <c r="F151" s="89"/>
      <c r="G151" s="95">
        <f t="shared" si="2"/>
        <v>20277579.59475017</v>
      </c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</row>
    <row r="152" spans="1:133" s="75" customFormat="1" ht="15.75" x14ac:dyDescent="0.25">
      <c r="A152" s="86" t="s">
        <v>213</v>
      </c>
      <c r="B152" s="87"/>
      <c r="C152" s="85" t="s">
        <v>73</v>
      </c>
      <c r="D152" s="85" t="s">
        <v>233</v>
      </c>
      <c r="E152" s="89">
        <v>5794.49</v>
      </c>
      <c r="F152" s="89"/>
      <c r="G152" s="95">
        <f t="shared" si="2"/>
        <v>20283374.084750168</v>
      </c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</row>
    <row r="153" spans="1:133" s="75" customFormat="1" ht="31.5" x14ac:dyDescent="0.25">
      <c r="A153" s="86" t="s">
        <v>213</v>
      </c>
      <c r="B153" s="87" t="s">
        <v>214</v>
      </c>
      <c r="C153" s="85" t="s">
        <v>215</v>
      </c>
      <c r="D153" s="85" t="s">
        <v>216</v>
      </c>
      <c r="E153" s="89"/>
      <c r="F153" s="89">
        <v>347440.4</v>
      </c>
      <c r="G153" s="95">
        <f t="shared" si="2"/>
        <v>19935933.68475017</v>
      </c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</row>
    <row r="154" spans="1:133" s="75" customFormat="1" ht="15.75" x14ac:dyDescent="0.25">
      <c r="A154" s="86" t="s">
        <v>213</v>
      </c>
      <c r="B154" s="87" t="s">
        <v>214</v>
      </c>
      <c r="C154" s="85" t="s">
        <v>215</v>
      </c>
      <c r="D154" s="85" t="s">
        <v>230</v>
      </c>
      <c r="E154" s="89"/>
      <c r="F154" s="89">
        <f>17436.6+16145</f>
        <v>33581.599999999999</v>
      </c>
      <c r="G154" s="95">
        <f t="shared" si="2"/>
        <v>19902352.084750168</v>
      </c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</row>
    <row r="155" spans="1:133" s="75" customFormat="1" ht="15.75" x14ac:dyDescent="0.25">
      <c r="A155" s="86" t="s">
        <v>213</v>
      </c>
      <c r="B155" s="87" t="s">
        <v>217</v>
      </c>
      <c r="C155" s="85" t="s">
        <v>218</v>
      </c>
      <c r="D155" s="85" t="s">
        <v>219</v>
      </c>
      <c r="E155" s="89"/>
      <c r="F155" s="89">
        <v>288150</v>
      </c>
      <c r="G155" s="95">
        <f t="shared" si="2"/>
        <v>19614202.084750168</v>
      </c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</row>
    <row r="156" spans="1:133" s="75" customFormat="1" ht="15.75" x14ac:dyDescent="0.25">
      <c r="A156" s="86" t="s">
        <v>213</v>
      </c>
      <c r="B156" s="87" t="s">
        <v>217</v>
      </c>
      <c r="C156" s="85" t="s">
        <v>218</v>
      </c>
      <c r="D156" s="85" t="s">
        <v>232</v>
      </c>
      <c r="E156" s="89"/>
      <c r="F156" s="89">
        <v>12750</v>
      </c>
      <c r="G156" s="95">
        <f t="shared" si="2"/>
        <v>19601452.084750168</v>
      </c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</row>
    <row r="157" spans="1:133" s="75" customFormat="1" ht="31.5" x14ac:dyDescent="0.25">
      <c r="A157" s="86" t="s">
        <v>213</v>
      </c>
      <c r="B157" s="87" t="s">
        <v>220</v>
      </c>
      <c r="C157" s="85" t="s">
        <v>221</v>
      </c>
      <c r="D157" s="85" t="s">
        <v>222</v>
      </c>
      <c r="E157" s="89"/>
      <c r="F157" s="89">
        <v>295021.17</v>
      </c>
      <c r="G157" s="95">
        <f t="shared" si="2"/>
        <v>19306430.914750166</v>
      </c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</row>
    <row r="158" spans="1:133" s="75" customFormat="1" ht="15.75" x14ac:dyDescent="0.25">
      <c r="A158" s="86" t="s">
        <v>213</v>
      </c>
      <c r="B158" s="87" t="s">
        <v>220</v>
      </c>
      <c r="C158" s="85" t="s">
        <v>221</v>
      </c>
      <c r="D158" s="85" t="s">
        <v>232</v>
      </c>
      <c r="E158" s="89"/>
      <c r="F158" s="89">
        <v>15527.43</v>
      </c>
      <c r="G158" s="95">
        <f t="shared" si="2"/>
        <v>19290903.484750167</v>
      </c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</row>
    <row r="159" spans="1:133" s="75" customFormat="1" ht="30.75" customHeight="1" x14ac:dyDescent="0.25">
      <c r="A159" s="86" t="s">
        <v>213</v>
      </c>
      <c r="B159" s="87" t="s">
        <v>223</v>
      </c>
      <c r="C159" s="85" t="s">
        <v>74</v>
      </c>
      <c r="D159" s="85" t="s">
        <v>224</v>
      </c>
      <c r="E159" s="89"/>
      <c r="F159" s="89">
        <v>1251720</v>
      </c>
      <c r="G159" s="95">
        <f t="shared" si="2"/>
        <v>18039183.484750167</v>
      </c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</row>
    <row r="160" spans="1:133" s="75" customFormat="1" ht="15.75" x14ac:dyDescent="0.25">
      <c r="A160" s="86" t="s">
        <v>213</v>
      </c>
      <c r="B160" s="87" t="s">
        <v>223</v>
      </c>
      <c r="C160" s="85" t="s">
        <v>74</v>
      </c>
      <c r="D160" s="85" t="s">
        <v>138</v>
      </c>
      <c r="E160" s="89"/>
      <c r="F160" s="89">
        <v>65880</v>
      </c>
      <c r="G160" s="95">
        <f t="shared" si="2"/>
        <v>17973303.484750167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</row>
    <row r="161" spans="1:133" s="75" customFormat="1" ht="31.5" x14ac:dyDescent="0.25">
      <c r="A161" s="86" t="s">
        <v>213</v>
      </c>
      <c r="B161" s="87" t="s">
        <v>225</v>
      </c>
      <c r="C161" s="85" t="s">
        <v>95</v>
      </c>
      <c r="D161" s="85" t="s">
        <v>226</v>
      </c>
      <c r="E161" s="89"/>
      <c r="F161" s="89">
        <v>185820</v>
      </c>
      <c r="G161" s="95">
        <f t="shared" si="2"/>
        <v>17787483.484750167</v>
      </c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</row>
    <row r="162" spans="1:133" s="75" customFormat="1" ht="15.75" x14ac:dyDescent="0.25">
      <c r="A162" s="86" t="s">
        <v>213</v>
      </c>
      <c r="B162" s="87" t="s">
        <v>225</v>
      </c>
      <c r="C162" s="85" t="s">
        <v>95</v>
      </c>
      <c r="D162" s="85" t="s">
        <v>138</v>
      </c>
      <c r="E162" s="89"/>
      <c r="F162" s="89">
        <v>9780</v>
      </c>
      <c r="G162" s="95">
        <f t="shared" si="2"/>
        <v>17777703.484750167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</row>
    <row r="163" spans="1:133" s="75" customFormat="1" ht="16.5" customHeight="1" x14ac:dyDescent="0.25">
      <c r="A163" s="86" t="s">
        <v>213</v>
      </c>
      <c r="B163" s="87" t="s">
        <v>227</v>
      </c>
      <c r="C163" s="85" t="s">
        <v>228</v>
      </c>
      <c r="D163" s="85" t="s">
        <v>229</v>
      </c>
      <c r="E163" s="89"/>
      <c r="F163" s="89">
        <v>27075</v>
      </c>
      <c r="G163" s="95">
        <f t="shared" si="2"/>
        <v>17750628.484750167</v>
      </c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</row>
    <row r="164" spans="1:133" s="75" customFormat="1" ht="15.75" x14ac:dyDescent="0.25">
      <c r="A164" s="86" t="s">
        <v>213</v>
      </c>
      <c r="B164" s="87" t="s">
        <v>227</v>
      </c>
      <c r="C164" s="85" t="s">
        <v>228</v>
      </c>
      <c r="D164" s="85" t="s">
        <v>232</v>
      </c>
      <c r="E164" s="89"/>
      <c r="F164" s="89">
        <v>1425</v>
      </c>
      <c r="G164" s="95">
        <f t="shared" si="2"/>
        <v>17749203.484750167</v>
      </c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</row>
    <row r="165" spans="1:133" s="75" customFormat="1" ht="32.25" customHeight="1" x14ac:dyDescent="0.25">
      <c r="A165" s="86" t="s">
        <v>213</v>
      </c>
      <c r="B165" s="87" t="s">
        <v>105</v>
      </c>
      <c r="C165" s="85" t="s">
        <v>44</v>
      </c>
      <c r="D165" s="85" t="s">
        <v>231</v>
      </c>
      <c r="E165" s="89">
        <v>548959.65</v>
      </c>
      <c r="F165" s="89"/>
      <c r="G165" s="94">
        <f t="shared" si="2"/>
        <v>18298163.134750165</v>
      </c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</row>
    <row r="166" spans="1:133" s="75" customFormat="1" ht="21" customHeight="1" x14ac:dyDescent="0.25">
      <c r="A166" s="86" t="s">
        <v>235</v>
      </c>
      <c r="B166" s="87"/>
      <c r="C166" s="85" t="s">
        <v>13</v>
      </c>
      <c r="D166" s="85" t="s">
        <v>22</v>
      </c>
      <c r="E166" s="89">
        <v>19922</v>
      </c>
      <c r="F166" s="89"/>
      <c r="G166" s="95">
        <f t="shared" si="2"/>
        <v>18318085.134750165</v>
      </c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</row>
    <row r="167" spans="1:133" s="75" customFormat="1" ht="21.75" customHeight="1" x14ac:dyDescent="0.25">
      <c r="A167" s="86" t="s">
        <v>235</v>
      </c>
      <c r="B167" s="87"/>
      <c r="C167" s="85" t="s">
        <v>13</v>
      </c>
      <c r="D167" s="85" t="s">
        <v>48</v>
      </c>
      <c r="E167" s="89">
        <v>690.4</v>
      </c>
      <c r="F167" s="89">
        <f>E167*0.025</f>
        <v>17.260000000000002</v>
      </c>
      <c r="G167" s="95">
        <f t="shared" si="2"/>
        <v>18318758.274750162</v>
      </c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</row>
    <row r="168" spans="1:133" s="75" customFormat="1" ht="21.75" customHeight="1" x14ac:dyDescent="0.25">
      <c r="A168" s="86" t="s">
        <v>235</v>
      </c>
      <c r="B168" s="87"/>
      <c r="C168" s="85" t="s">
        <v>13</v>
      </c>
      <c r="D168" s="85" t="s">
        <v>48</v>
      </c>
      <c r="E168" s="89">
        <v>1530</v>
      </c>
      <c r="F168" s="89">
        <f>E168*0.025</f>
        <v>38.25</v>
      </c>
      <c r="G168" s="95">
        <f t="shared" si="2"/>
        <v>18320250.024750162</v>
      </c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</row>
    <row r="169" spans="1:133" s="75" customFormat="1" ht="21.75" customHeight="1" x14ac:dyDescent="0.25">
      <c r="A169" s="86" t="s">
        <v>235</v>
      </c>
      <c r="B169" s="87"/>
      <c r="C169" s="85" t="s">
        <v>13</v>
      </c>
      <c r="D169" s="85" t="s">
        <v>48</v>
      </c>
      <c r="E169" s="89">
        <v>1000</v>
      </c>
      <c r="F169" s="89">
        <f>E169*0.025</f>
        <v>25</v>
      </c>
      <c r="G169" s="95">
        <f t="shared" si="2"/>
        <v>18321225.024750162</v>
      </c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</row>
    <row r="170" spans="1:133" s="75" customFormat="1" ht="21.75" customHeight="1" x14ac:dyDescent="0.25">
      <c r="A170" s="86" t="s">
        <v>235</v>
      </c>
      <c r="B170" s="87"/>
      <c r="C170" s="85" t="s">
        <v>13</v>
      </c>
      <c r="D170" s="85" t="s">
        <v>48</v>
      </c>
      <c r="E170" s="89">
        <v>400</v>
      </c>
      <c r="F170" s="89">
        <f>E170*0.025</f>
        <v>10</v>
      </c>
      <c r="G170" s="95">
        <f t="shared" si="2"/>
        <v>18321615.024750162</v>
      </c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</row>
    <row r="171" spans="1:133" s="75" customFormat="1" ht="15.75" customHeight="1" x14ac:dyDescent="0.25">
      <c r="A171" s="86" t="s">
        <v>235</v>
      </c>
      <c r="B171" s="87"/>
      <c r="C171" s="85" t="s">
        <v>73</v>
      </c>
      <c r="D171" s="85" t="s">
        <v>253</v>
      </c>
      <c r="E171" s="89">
        <v>14939682.859999999</v>
      </c>
      <c r="F171" s="89"/>
      <c r="G171" s="95">
        <f t="shared" si="2"/>
        <v>33261297.884750161</v>
      </c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</row>
    <row r="172" spans="1:133" s="75" customFormat="1" ht="21" customHeight="1" x14ac:dyDescent="0.25">
      <c r="A172" s="86" t="s">
        <v>235</v>
      </c>
      <c r="B172" s="87"/>
      <c r="C172" s="85" t="s">
        <v>73</v>
      </c>
      <c r="D172" s="85" t="s">
        <v>31</v>
      </c>
      <c r="E172" s="89">
        <v>2386897.06</v>
      </c>
      <c r="F172" s="89"/>
      <c r="G172" s="95">
        <f t="shared" si="2"/>
        <v>35648194.94475016</v>
      </c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</row>
    <row r="173" spans="1:133" s="75" customFormat="1" ht="21" customHeight="1" x14ac:dyDescent="0.25">
      <c r="A173" s="86" t="s">
        <v>235</v>
      </c>
      <c r="B173" s="87"/>
      <c r="C173" s="85" t="s">
        <v>73</v>
      </c>
      <c r="D173" s="85" t="s">
        <v>31</v>
      </c>
      <c r="E173" s="89">
        <v>121578.5</v>
      </c>
      <c r="F173" s="89"/>
      <c r="G173" s="95">
        <f t="shared" si="2"/>
        <v>35769773.44475016</v>
      </c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</row>
    <row r="174" spans="1:133" s="75" customFormat="1" ht="21" customHeight="1" x14ac:dyDescent="0.25">
      <c r="A174" s="86" t="s">
        <v>235</v>
      </c>
      <c r="B174" s="87"/>
      <c r="C174" s="85" t="s">
        <v>73</v>
      </c>
      <c r="D174" s="85" t="s">
        <v>88</v>
      </c>
      <c r="E174" s="89">
        <v>325805.45</v>
      </c>
      <c r="F174" s="89"/>
      <c r="G174" s="95">
        <f t="shared" si="2"/>
        <v>36095578.894750163</v>
      </c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</row>
    <row r="175" spans="1:133" s="75" customFormat="1" ht="21" customHeight="1" x14ac:dyDescent="0.25">
      <c r="A175" s="86" t="s">
        <v>235</v>
      </c>
      <c r="B175" s="87"/>
      <c r="C175" s="85" t="s">
        <v>73</v>
      </c>
      <c r="D175" s="85" t="s">
        <v>33</v>
      </c>
      <c r="E175" s="89">
        <v>249645.91</v>
      </c>
      <c r="F175" s="89"/>
      <c r="G175" s="95">
        <f t="shared" si="2"/>
        <v>36345224.804750159</v>
      </c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</row>
    <row r="176" spans="1:133" s="75" customFormat="1" ht="21" customHeight="1" x14ac:dyDescent="0.25">
      <c r="A176" s="86" t="s">
        <v>235</v>
      </c>
      <c r="B176" s="87"/>
      <c r="C176" s="85" t="s">
        <v>73</v>
      </c>
      <c r="D176" s="85" t="s">
        <v>31</v>
      </c>
      <c r="E176" s="89">
        <v>68462.52</v>
      </c>
      <c r="F176" s="89"/>
      <c r="G176" s="95">
        <f t="shared" si="2"/>
        <v>36413687.324750163</v>
      </c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</row>
    <row r="177" spans="1:133" s="75" customFormat="1" ht="18" customHeight="1" x14ac:dyDescent="0.25">
      <c r="A177" s="86" t="s">
        <v>235</v>
      </c>
      <c r="B177" s="87"/>
      <c r="C177" s="85" t="s">
        <v>73</v>
      </c>
      <c r="D177" s="85" t="s">
        <v>27</v>
      </c>
      <c r="E177" s="89">
        <v>505910.74</v>
      </c>
      <c r="F177" s="89"/>
      <c r="G177" s="95">
        <f t="shared" si="2"/>
        <v>36919598.064750165</v>
      </c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</row>
    <row r="178" spans="1:133" s="75" customFormat="1" ht="21" customHeight="1" x14ac:dyDescent="0.25">
      <c r="A178" s="86" t="s">
        <v>235</v>
      </c>
      <c r="B178" s="87"/>
      <c r="C178" s="85" t="s">
        <v>73</v>
      </c>
      <c r="D178" s="85" t="s">
        <v>72</v>
      </c>
      <c r="E178" s="89">
        <v>34353.94</v>
      </c>
      <c r="F178" s="89"/>
      <c r="G178" s="95">
        <f t="shared" si="2"/>
        <v>36953952.004750162</v>
      </c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</row>
    <row r="179" spans="1:133" s="75" customFormat="1" ht="18" customHeight="1" x14ac:dyDescent="0.25">
      <c r="A179" s="86" t="s">
        <v>235</v>
      </c>
      <c r="B179" s="87" t="s">
        <v>236</v>
      </c>
      <c r="C179" s="85" t="s">
        <v>53</v>
      </c>
      <c r="D179" s="85" t="s">
        <v>237</v>
      </c>
      <c r="E179" s="89"/>
      <c r="F179" s="89">
        <v>191187.5</v>
      </c>
      <c r="G179" s="95">
        <f t="shared" si="2"/>
        <v>36762764.504750162</v>
      </c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</row>
    <row r="180" spans="1:133" s="75" customFormat="1" ht="18" customHeight="1" x14ac:dyDescent="0.25">
      <c r="A180" s="86" t="s">
        <v>235</v>
      </c>
      <c r="B180" s="87" t="s">
        <v>236</v>
      </c>
      <c r="C180" s="85" t="s">
        <v>53</v>
      </c>
      <c r="D180" s="85" t="s">
        <v>252</v>
      </c>
      <c r="E180" s="89"/>
      <c r="F180" s="89">
        <f>10062.5</f>
        <v>10062.5</v>
      </c>
      <c r="G180" s="95">
        <f t="shared" si="2"/>
        <v>36752702.004750162</v>
      </c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</row>
    <row r="181" spans="1:133" s="75" customFormat="1" ht="15.75" customHeight="1" x14ac:dyDescent="0.25">
      <c r="A181" s="86" t="s">
        <v>235</v>
      </c>
      <c r="B181" s="87" t="s">
        <v>238</v>
      </c>
      <c r="C181" s="85" t="s">
        <v>100</v>
      </c>
      <c r="D181" s="85" t="s">
        <v>239</v>
      </c>
      <c r="E181" s="89"/>
      <c r="F181" s="89">
        <v>897589.6</v>
      </c>
      <c r="G181" s="95">
        <f t="shared" si="2"/>
        <v>35855112.404750161</v>
      </c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</row>
    <row r="182" spans="1:133" s="75" customFormat="1" ht="15.75" x14ac:dyDescent="0.25">
      <c r="A182" s="86" t="s">
        <v>235</v>
      </c>
      <c r="B182" s="87" t="s">
        <v>238</v>
      </c>
      <c r="C182" s="85" t="s">
        <v>100</v>
      </c>
      <c r="D182" s="85" t="s">
        <v>230</v>
      </c>
      <c r="E182" s="89"/>
      <c r="F182" s="89">
        <f>22140+40696</f>
        <v>62836</v>
      </c>
      <c r="G182" s="95">
        <f t="shared" si="2"/>
        <v>35792276.404750161</v>
      </c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</row>
    <row r="183" spans="1:133" s="75" customFormat="1" ht="31.5" x14ac:dyDescent="0.25">
      <c r="A183" s="86" t="s">
        <v>235</v>
      </c>
      <c r="B183" s="87" t="s">
        <v>240</v>
      </c>
      <c r="C183" s="85" t="s">
        <v>52</v>
      </c>
      <c r="D183" s="85" t="s">
        <v>241</v>
      </c>
      <c r="E183" s="89"/>
      <c r="F183" s="89">
        <v>1086832.08</v>
      </c>
      <c r="G183" s="95">
        <f t="shared" si="2"/>
        <v>34705444.324750163</v>
      </c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</row>
    <row r="184" spans="1:133" s="75" customFormat="1" ht="18" customHeight="1" x14ac:dyDescent="0.25">
      <c r="A184" s="86" t="s">
        <v>235</v>
      </c>
      <c r="B184" s="87" t="s">
        <v>240</v>
      </c>
      <c r="C184" s="85" t="s">
        <v>52</v>
      </c>
      <c r="D184" s="85" t="s">
        <v>137</v>
      </c>
      <c r="E184" s="89"/>
      <c r="F184" s="89">
        <v>100632.6</v>
      </c>
      <c r="G184" s="95">
        <f t="shared" si="2"/>
        <v>34604811.724750161</v>
      </c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</row>
    <row r="185" spans="1:133" s="75" customFormat="1" ht="15.75" customHeight="1" x14ac:dyDescent="0.25">
      <c r="A185" s="86" t="s">
        <v>235</v>
      </c>
      <c r="B185" s="87" t="s">
        <v>242</v>
      </c>
      <c r="C185" s="85" t="s">
        <v>50</v>
      </c>
      <c r="D185" s="85" t="s">
        <v>243</v>
      </c>
      <c r="E185" s="89"/>
      <c r="F185" s="89">
        <v>374016.64</v>
      </c>
      <c r="G185" s="95">
        <f t="shared" si="2"/>
        <v>34230795.084750161</v>
      </c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</row>
    <row r="186" spans="1:133" s="75" customFormat="1" ht="15.75" customHeight="1" x14ac:dyDescent="0.25">
      <c r="A186" s="86" t="s">
        <v>235</v>
      </c>
      <c r="B186" s="87" t="s">
        <v>242</v>
      </c>
      <c r="C186" s="85" t="s">
        <v>50</v>
      </c>
      <c r="D186" s="85" t="s">
        <v>138</v>
      </c>
      <c r="E186" s="89"/>
      <c r="F186" s="89">
        <v>17671.93</v>
      </c>
      <c r="G186" s="95">
        <f t="shared" si="2"/>
        <v>34213123.154750161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</row>
    <row r="187" spans="1:133" s="75" customFormat="1" ht="15.75" customHeight="1" x14ac:dyDescent="0.25">
      <c r="A187" s="86" t="s">
        <v>235</v>
      </c>
      <c r="B187" s="87" t="s">
        <v>244</v>
      </c>
      <c r="C187" s="85" t="s">
        <v>54</v>
      </c>
      <c r="D187" s="85" t="s">
        <v>245</v>
      </c>
      <c r="E187" s="89"/>
      <c r="F187" s="89">
        <v>346817.6</v>
      </c>
      <c r="G187" s="95">
        <f t="shared" si="2"/>
        <v>33866305.554750159</v>
      </c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</row>
    <row r="188" spans="1:133" s="75" customFormat="1" ht="15.75" customHeight="1" x14ac:dyDescent="0.25">
      <c r="A188" s="86" t="s">
        <v>235</v>
      </c>
      <c r="B188" s="87" t="s">
        <v>244</v>
      </c>
      <c r="C188" s="85" t="s">
        <v>54</v>
      </c>
      <c r="D188" s="85" t="s">
        <v>138</v>
      </c>
      <c r="E188" s="89"/>
      <c r="F188" s="89">
        <v>18121.400000000001</v>
      </c>
      <c r="G188" s="95">
        <f t="shared" si="2"/>
        <v>33848184.154750161</v>
      </c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</row>
    <row r="189" spans="1:133" s="75" customFormat="1" ht="16.5" customHeight="1" x14ac:dyDescent="0.25">
      <c r="A189" s="86" t="s">
        <v>235</v>
      </c>
      <c r="B189" s="87" t="s">
        <v>246</v>
      </c>
      <c r="C189" s="85" t="s">
        <v>87</v>
      </c>
      <c r="D189" s="85" t="s">
        <v>247</v>
      </c>
      <c r="E189" s="89"/>
      <c r="F189" s="89">
        <v>206274.13</v>
      </c>
      <c r="G189" s="95">
        <f t="shared" si="2"/>
        <v>33641910.024750158</v>
      </c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</row>
    <row r="190" spans="1:133" s="75" customFormat="1" ht="16.5" customHeight="1" x14ac:dyDescent="0.25">
      <c r="A190" s="86" t="s">
        <v>235</v>
      </c>
      <c r="B190" s="87" t="s">
        <v>246</v>
      </c>
      <c r="C190" s="85" t="s">
        <v>87</v>
      </c>
      <c r="D190" s="85" t="s">
        <v>138</v>
      </c>
      <c r="E190" s="89"/>
      <c r="F190" s="89">
        <v>10856.53</v>
      </c>
      <c r="G190" s="95">
        <f t="shared" si="2"/>
        <v>33631053.494750157</v>
      </c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</row>
    <row r="191" spans="1:133" s="75" customFormat="1" ht="31.5" x14ac:dyDescent="0.25">
      <c r="A191" s="86" t="s">
        <v>235</v>
      </c>
      <c r="B191" s="87" t="s">
        <v>248</v>
      </c>
      <c r="C191" s="85" t="s">
        <v>75</v>
      </c>
      <c r="D191" s="85" t="s">
        <v>249</v>
      </c>
      <c r="E191" s="89"/>
      <c r="F191" s="89">
        <v>298575.98</v>
      </c>
      <c r="G191" s="95">
        <f t="shared" si="2"/>
        <v>33332477.514750157</v>
      </c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</row>
    <row r="192" spans="1:133" s="75" customFormat="1" ht="15.75" x14ac:dyDescent="0.25">
      <c r="A192" s="86" t="s">
        <v>235</v>
      </c>
      <c r="B192" s="87" t="s">
        <v>248</v>
      </c>
      <c r="C192" s="85" t="s">
        <v>75</v>
      </c>
      <c r="D192" s="85" t="s">
        <v>138</v>
      </c>
      <c r="E192" s="89"/>
      <c r="F192" s="89">
        <v>13211.33</v>
      </c>
      <c r="G192" s="95">
        <f t="shared" si="2"/>
        <v>33319266.184750158</v>
      </c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</row>
    <row r="193" spans="1:133" s="75" customFormat="1" ht="15.75" x14ac:dyDescent="0.25">
      <c r="A193" s="86" t="s">
        <v>235</v>
      </c>
      <c r="B193" s="87" t="s">
        <v>250</v>
      </c>
      <c r="C193" s="85" t="s">
        <v>91</v>
      </c>
      <c r="D193" s="85" t="s">
        <v>251</v>
      </c>
      <c r="E193" s="89"/>
      <c r="F193" s="89">
        <v>101700</v>
      </c>
      <c r="G193" s="95">
        <f t="shared" si="2"/>
        <v>33217566.184750158</v>
      </c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</row>
    <row r="194" spans="1:133" s="75" customFormat="1" ht="15.75" x14ac:dyDescent="0.25">
      <c r="A194" s="86" t="s">
        <v>235</v>
      </c>
      <c r="B194" s="87" t="s">
        <v>250</v>
      </c>
      <c r="C194" s="85" t="s">
        <v>91</v>
      </c>
      <c r="D194" s="85" t="s">
        <v>138</v>
      </c>
      <c r="E194" s="89"/>
      <c r="F194" s="89">
        <v>4500</v>
      </c>
      <c r="G194" s="94">
        <f t="shared" si="2"/>
        <v>33213066.184750158</v>
      </c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</row>
    <row r="195" spans="1:133" s="75" customFormat="1" ht="15.75" x14ac:dyDescent="0.25">
      <c r="A195" s="86" t="s">
        <v>254</v>
      </c>
      <c r="B195" s="87"/>
      <c r="C195" s="85" t="s">
        <v>13</v>
      </c>
      <c r="D195" s="85" t="s">
        <v>22</v>
      </c>
      <c r="E195" s="89">
        <v>62887</v>
      </c>
      <c r="F195" s="89"/>
      <c r="G195" s="94">
        <f t="shared" si="2"/>
        <v>33275953.184750158</v>
      </c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</row>
    <row r="196" spans="1:133" s="75" customFormat="1" ht="15.75" x14ac:dyDescent="0.25">
      <c r="A196" s="86" t="s">
        <v>254</v>
      </c>
      <c r="B196" s="87"/>
      <c r="C196" s="85" t="s">
        <v>13</v>
      </c>
      <c r="D196" s="85" t="s">
        <v>48</v>
      </c>
      <c r="E196" s="89">
        <v>3000</v>
      </c>
      <c r="F196" s="89">
        <f>E196*0.025</f>
        <v>75</v>
      </c>
      <c r="G196" s="95">
        <f t="shared" si="2"/>
        <v>33278878.184750158</v>
      </c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</row>
    <row r="197" spans="1:133" s="75" customFormat="1" ht="15.75" x14ac:dyDescent="0.25">
      <c r="A197" s="86" t="s">
        <v>254</v>
      </c>
      <c r="B197" s="87"/>
      <c r="C197" s="85" t="s">
        <v>13</v>
      </c>
      <c r="D197" s="85" t="s">
        <v>48</v>
      </c>
      <c r="E197" s="89">
        <v>200</v>
      </c>
      <c r="F197" s="89">
        <f>E197*0.025</f>
        <v>5</v>
      </c>
      <c r="G197" s="95">
        <f t="shared" si="2"/>
        <v>33279073.184750158</v>
      </c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</row>
    <row r="198" spans="1:133" s="75" customFormat="1" ht="15.75" x14ac:dyDescent="0.25">
      <c r="A198" s="86" t="s">
        <v>254</v>
      </c>
      <c r="B198" s="87"/>
      <c r="C198" s="85" t="s">
        <v>13</v>
      </c>
      <c r="D198" s="85" t="s">
        <v>48</v>
      </c>
      <c r="E198" s="89">
        <v>2383.2199999999998</v>
      </c>
      <c r="F198" s="89">
        <f>E198*0.025</f>
        <v>59.580500000000001</v>
      </c>
      <c r="G198" s="95">
        <f t="shared" si="2"/>
        <v>33281396.824250158</v>
      </c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</row>
    <row r="199" spans="1:133" s="75" customFormat="1" ht="15.75" x14ac:dyDescent="0.25">
      <c r="A199" s="86" t="s">
        <v>254</v>
      </c>
      <c r="B199" s="87"/>
      <c r="C199" s="85" t="s">
        <v>13</v>
      </c>
      <c r="D199" s="85" t="s">
        <v>48</v>
      </c>
      <c r="E199" s="89">
        <v>200</v>
      </c>
      <c r="F199" s="89">
        <f>E199*0.025</f>
        <v>5</v>
      </c>
      <c r="G199" s="95">
        <f t="shared" ref="G199:G212" si="3">G198+E199-F199</f>
        <v>33281591.824250158</v>
      </c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</row>
    <row r="200" spans="1:133" s="75" customFormat="1" ht="15.75" x14ac:dyDescent="0.25">
      <c r="A200" s="86" t="s">
        <v>254</v>
      </c>
      <c r="B200" s="87"/>
      <c r="C200" s="85" t="s">
        <v>73</v>
      </c>
      <c r="D200" s="85" t="s">
        <v>86</v>
      </c>
      <c r="E200" s="89">
        <v>70282.69</v>
      </c>
      <c r="F200" s="89"/>
      <c r="G200" s="94">
        <f t="shared" si="3"/>
        <v>33351874.514250159</v>
      </c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</row>
    <row r="201" spans="1:133" s="75" customFormat="1" ht="15.75" x14ac:dyDescent="0.25">
      <c r="A201" s="86" t="s">
        <v>255</v>
      </c>
      <c r="B201" s="87"/>
      <c r="C201" s="85" t="s">
        <v>13</v>
      </c>
      <c r="D201" s="85" t="s">
        <v>22</v>
      </c>
      <c r="E201" s="89">
        <v>46427</v>
      </c>
      <c r="F201" s="89"/>
      <c r="G201" s="94">
        <f t="shared" si="3"/>
        <v>33398301.514250159</v>
      </c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</row>
    <row r="202" spans="1:133" s="75" customFormat="1" ht="15.75" x14ac:dyDescent="0.25">
      <c r="A202" s="86" t="s">
        <v>255</v>
      </c>
      <c r="B202" s="87"/>
      <c r="C202" s="85" t="s">
        <v>13</v>
      </c>
      <c r="D202" s="85" t="s">
        <v>48</v>
      </c>
      <c r="E202" s="89">
        <v>5316.34</v>
      </c>
      <c r="F202" s="89">
        <f>E202*0.025</f>
        <v>132.9085</v>
      </c>
      <c r="G202" s="95">
        <f t="shared" si="3"/>
        <v>33403484.945750158</v>
      </c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  <c r="DY202" s="41"/>
      <c r="DZ202" s="41"/>
      <c r="EA202" s="41"/>
      <c r="EB202" s="41"/>
      <c r="EC202" s="41"/>
    </row>
    <row r="203" spans="1:133" s="75" customFormat="1" ht="15.75" x14ac:dyDescent="0.25">
      <c r="A203" s="86" t="s">
        <v>255</v>
      </c>
      <c r="B203" s="87"/>
      <c r="C203" s="85" t="s">
        <v>73</v>
      </c>
      <c r="D203" s="85" t="s">
        <v>90</v>
      </c>
      <c r="E203" s="89">
        <v>228038.02</v>
      </c>
      <c r="F203" s="89"/>
      <c r="G203" s="95">
        <f t="shared" si="3"/>
        <v>33631522.965750158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  <c r="DY203" s="41"/>
      <c r="DZ203" s="41"/>
      <c r="EA203" s="41"/>
      <c r="EB203" s="41"/>
      <c r="EC203" s="41"/>
    </row>
    <row r="204" spans="1:133" s="75" customFormat="1" ht="15.75" x14ac:dyDescent="0.25">
      <c r="A204" s="86" t="s">
        <v>255</v>
      </c>
      <c r="B204" s="87"/>
      <c r="C204" s="85" t="s">
        <v>73</v>
      </c>
      <c r="D204" s="85" t="s">
        <v>264</v>
      </c>
      <c r="E204" s="89">
        <v>50000</v>
      </c>
      <c r="F204" s="89"/>
      <c r="G204" s="95">
        <f t="shared" si="3"/>
        <v>33681522.965750158</v>
      </c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  <c r="DY204" s="41"/>
      <c r="DZ204" s="41"/>
      <c r="EA204" s="41"/>
      <c r="EB204" s="41"/>
      <c r="EC204" s="41"/>
    </row>
    <row r="205" spans="1:133" s="75" customFormat="1" ht="31.5" x14ac:dyDescent="0.25">
      <c r="A205" s="86" t="s">
        <v>255</v>
      </c>
      <c r="B205" s="87" t="s">
        <v>256</v>
      </c>
      <c r="C205" s="85" t="s">
        <v>257</v>
      </c>
      <c r="D205" s="85" t="s">
        <v>258</v>
      </c>
      <c r="E205" s="89"/>
      <c r="F205" s="89">
        <v>693955.73</v>
      </c>
      <c r="G205" s="95">
        <f t="shared" si="3"/>
        <v>32987567.235750157</v>
      </c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</row>
    <row r="206" spans="1:133" s="75" customFormat="1" ht="16.5" customHeight="1" x14ac:dyDescent="0.25">
      <c r="A206" s="86" t="s">
        <v>255</v>
      </c>
      <c r="B206" s="87" t="s">
        <v>256</v>
      </c>
      <c r="C206" s="85" t="s">
        <v>257</v>
      </c>
      <c r="D206" s="85" t="s">
        <v>137</v>
      </c>
      <c r="E206" s="89"/>
      <c r="F206" s="89">
        <v>64255.16</v>
      </c>
      <c r="G206" s="95">
        <f t="shared" si="3"/>
        <v>32923312.075750157</v>
      </c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  <c r="DY206" s="41"/>
      <c r="DZ206" s="41"/>
      <c r="EA206" s="41"/>
      <c r="EB206" s="41"/>
      <c r="EC206" s="41"/>
    </row>
    <row r="207" spans="1:133" s="75" customFormat="1" ht="31.5" x14ac:dyDescent="0.25">
      <c r="A207" s="86" t="s">
        <v>255</v>
      </c>
      <c r="B207" s="87" t="s">
        <v>259</v>
      </c>
      <c r="C207" s="85" t="s">
        <v>76</v>
      </c>
      <c r="D207" s="85" t="s">
        <v>260</v>
      </c>
      <c r="E207" s="89"/>
      <c r="F207" s="89">
        <v>74580</v>
      </c>
      <c r="G207" s="95">
        <f t="shared" si="3"/>
        <v>32848732.075750157</v>
      </c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  <c r="DY207" s="41"/>
      <c r="DZ207" s="41"/>
      <c r="EA207" s="41"/>
      <c r="EB207" s="41"/>
      <c r="EC207" s="41"/>
    </row>
    <row r="208" spans="1:133" s="75" customFormat="1" ht="31.5" x14ac:dyDescent="0.25">
      <c r="A208" s="86" t="s">
        <v>255</v>
      </c>
      <c r="B208" s="87" t="s">
        <v>259</v>
      </c>
      <c r="C208" s="85" t="s">
        <v>76</v>
      </c>
      <c r="D208" s="85" t="s">
        <v>138</v>
      </c>
      <c r="E208" s="89"/>
      <c r="F208" s="89">
        <v>3300</v>
      </c>
      <c r="G208" s="95">
        <f t="shared" si="3"/>
        <v>32845432.075750157</v>
      </c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  <c r="DY208" s="41"/>
      <c r="DZ208" s="41"/>
      <c r="EA208" s="41"/>
      <c r="EB208" s="41"/>
      <c r="EC208" s="41"/>
    </row>
    <row r="209" spans="1:133" s="75" customFormat="1" ht="31.5" x14ac:dyDescent="0.25">
      <c r="A209" s="86" t="s">
        <v>255</v>
      </c>
      <c r="B209" s="87" t="s">
        <v>261</v>
      </c>
      <c r="C209" s="85" t="s">
        <v>262</v>
      </c>
      <c r="D209" s="85" t="s">
        <v>263</v>
      </c>
      <c r="E209" s="89"/>
      <c r="F209" s="89">
        <v>170583.48</v>
      </c>
      <c r="G209" s="95">
        <f t="shared" si="3"/>
        <v>32674848.595750157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  <c r="DY209" s="41"/>
      <c r="DZ209" s="41"/>
      <c r="EA209" s="41"/>
      <c r="EB209" s="41"/>
      <c r="EC209" s="41"/>
    </row>
    <row r="210" spans="1:133" s="75" customFormat="1" ht="32.25" customHeight="1" x14ac:dyDescent="0.25">
      <c r="A210" s="86" t="s">
        <v>255</v>
      </c>
      <c r="B210" s="87" t="s">
        <v>261</v>
      </c>
      <c r="C210" s="85" t="s">
        <v>262</v>
      </c>
      <c r="D210" s="85" t="s">
        <v>279</v>
      </c>
      <c r="E210" s="89"/>
      <c r="F210" s="89">
        <v>6708.59</v>
      </c>
      <c r="G210" s="95">
        <f t="shared" si="3"/>
        <v>32668140.005750157</v>
      </c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  <c r="DY210" s="41"/>
      <c r="DZ210" s="41"/>
      <c r="EA210" s="41"/>
      <c r="EB210" s="41"/>
      <c r="EC210" s="41"/>
    </row>
    <row r="211" spans="1:133" s="75" customFormat="1" ht="31.5" x14ac:dyDescent="0.25">
      <c r="A211" s="86" t="s">
        <v>265</v>
      </c>
      <c r="B211" s="87"/>
      <c r="C211" s="85" t="s">
        <v>73</v>
      </c>
      <c r="D211" s="85" t="s">
        <v>266</v>
      </c>
      <c r="E211" s="89">
        <v>2800</v>
      </c>
      <c r="F211" s="89"/>
      <c r="G211" s="95">
        <f t="shared" si="3"/>
        <v>32670940.005750157</v>
      </c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  <c r="DY211" s="41"/>
      <c r="DZ211" s="41"/>
      <c r="EA211" s="41"/>
      <c r="EB211" s="41"/>
      <c r="EC211" s="41"/>
    </row>
    <row r="212" spans="1:133" s="75" customFormat="1" ht="31.5" x14ac:dyDescent="0.25">
      <c r="A212" s="86" t="s">
        <v>265</v>
      </c>
      <c r="B212" s="87"/>
      <c r="C212" s="85" t="s">
        <v>73</v>
      </c>
      <c r="D212" s="85" t="s">
        <v>266</v>
      </c>
      <c r="E212" s="89">
        <v>1160872.7</v>
      </c>
      <c r="F212" s="89"/>
      <c r="G212" s="94">
        <f t="shared" si="3"/>
        <v>33831812.70575016</v>
      </c>
      <c r="H212" s="88" t="e">
        <f>UNICA!#REF!</f>
        <v>#REF!</v>
      </c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  <c r="DY212" s="41"/>
      <c r="DZ212" s="41"/>
      <c r="EA212" s="41"/>
      <c r="EB212" s="41"/>
      <c r="EC212" s="41"/>
    </row>
    <row r="213" spans="1:133" s="75" customFormat="1" thickBot="1" x14ac:dyDescent="0.3">
      <c r="A213" s="45"/>
      <c r="B213" s="71"/>
      <c r="C213" s="51"/>
      <c r="D213" s="103"/>
      <c r="E213" s="61">
        <f>SUM(E12:E67)</f>
        <v>455498.77999999997</v>
      </c>
      <c r="F213" s="61">
        <f>SUM(F13:F67)</f>
        <v>6448347.7195000015</v>
      </c>
      <c r="G213" s="91"/>
      <c r="H213" s="88">
        <v>2434156.44000002</v>
      </c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  <c r="DY213" s="41"/>
      <c r="DZ213" s="41"/>
      <c r="EA213" s="41"/>
      <c r="EB213" s="41"/>
      <c r="EC213" s="41"/>
    </row>
    <row r="214" spans="1:133" s="75" customFormat="1" thickTop="1" x14ac:dyDescent="0.25">
      <c r="A214" s="45"/>
      <c r="B214" s="71"/>
      <c r="C214" s="51"/>
      <c r="D214" s="51"/>
      <c r="E214" s="88"/>
      <c r="F214" s="52"/>
      <c r="G214" s="91"/>
      <c r="H214" s="88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  <c r="DY214" s="41"/>
      <c r="DZ214" s="41"/>
      <c r="EA214" s="41"/>
      <c r="EB214" s="41"/>
      <c r="EC214" s="41"/>
    </row>
    <row r="215" spans="1:133" s="75" customFormat="1" ht="15.75" x14ac:dyDescent="0.25">
      <c r="A215" s="86">
        <v>44207</v>
      </c>
      <c r="B215" s="87"/>
      <c r="C215" s="85" t="s">
        <v>13</v>
      </c>
      <c r="D215" s="85" t="s">
        <v>22</v>
      </c>
      <c r="E215" s="89">
        <v>28467</v>
      </c>
      <c r="F215" s="73"/>
      <c r="G215" s="94">
        <f>G212+E215-F215</f>
        <v>33860279.70575016</v>
      </c>
      <c r="H215" s="88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  <c r="DY215" s="41"/>
      <c r="DZ215" s="41"/>
      <c r="EA215" s="41"/>
      <c r="EB215" s="41"/>
      <c r="EC215" s="41"/>
    </row>
    <row r="216" spans="1:133" s="75" customFormat="1" ht="15.75" x14ac:dyDescent="0.25">
      <c r="A216" s="86">
        <v>44207</v>
      </c>
      <c r="B216" s="87"/>
      <c r="C216" s="85" t="s">
        <v>13</v>
      </c>
      <c r="D216" s="85" t="s">
        <v>48</v>
      </c>
      <c r="E216" s="89">
        <v>464</v>
      </c>
      <c r="F216" s="23">
        <f>E216*0.025</f>
        <v>11.600000000000001</v>
      </c>
      <c r="G216" s="94">
        <f>G215+E216-F216</f>
        <v>33860732.105750158</v>
      </c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</row>
    <row r="217" spans="1:133" s="75" customFormat="1" ht="15.75" x14ac:dyDescent="0.25">
      <c r="A217" s="86">
        <v>44207</v>
      </c>
      <c r="B217" s="87"/>
      <c r="C217" s="85" t="s">
        <v>13</v>
      </c>
      <c r="D217" s="85" t="s">
        <v>48</v>
      </c>
      <c r="E217" s="89">
        <v>325</v>
      </c>
      <c r="F217" s="23">
        <f>E217*0.025</f>
        <v>8.125</v>
      </c>
      <c r="G217" s="95">
        <f>G216+E217-F217</f>
        <v>33861048.980750158</v>
      </c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  <c r="DY217" s="41"/>
      <c r="DZ217" s="41"/>
      <c r="EA217" s="41"/>
      <c r="EB217" s="41"/>
      <c r="EC217" s="41"/>
    </row>
    <row r="218" spans="1:133" s="75" customFormat="1" ht="15.75" x14ac:dyDescent="0.25">
      <c r="A218" s="86">
        <v>44238</v>
      </c>
      <c r="B218" s="87"/>
      <c r="C218" s="85" t="s">
        <v>13</v>
      </c>
      <c r="D218" s="85" t="s">
        <v>22</v>
      </c>
      <c r="E218" s="89">
        <v>33184</v>
      </c>
      <c r="F218" s="23"/>
      <c r="G218" s="95">
        <f t="shared" ref="G218:G227" si="4">G217+E218-F218</f>
        <v>33894232.980750158</v>
      </c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  <c r="DY218" s="41"/>
      <c r="DZ218" s="41"/>
      <c r="EA218" s="41"/>
      <c r="EB218" s="41"/>
      <c r="EC218" s="41"/>
    </row>
    <row r="219" spans="1:133" s="75" customFormat="1" ht="15.75" x14ac:dyDescent="0.25">
      <c r="A219" s="86">
        <v>44238</v>
      </c>
      <c r="B219" s="87"/>
      <c r="C219" s="85" t="s">
        <v>13</v>
      </c>
      <c r="D219" s="85" t="s">
        <v>48</v>
      </c>
      <c r="E219" s="89">
        <v>100</v>
      </c>
      <c r="F219" s="23">
        <f>E219*0.025</f>
        <v>2.5</v>
      </c>
      <c r="G219" s="95">
        <f t="shared" si="4"/>
        <v>33894330.480750158</v>
      </c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</row>
    <row r="220" spans="1:133" s="75" customFormat="1" ht="15.75" x14ac:dyDescent="0.25">
      <c r="A220" s="86">
        <v>44238</v>
      </c>
      <c r="B220" s="87"/>
      <c r="C220" s="85" t="s">
        <v>13</v>
      </c>
      <c r="D220" s="85" t="s">
        <v>48</v>
      </c>
      <c r="E220" s="89">
        <v>650</v>
      </c>
      <c r="F220" s="23">
        <f>E220*0.025</f>
        <v>16.25</v>
      </c>
      <c r="G220" s="95">
        <f t="shared" si="4"/>
        <v>33894964.230750158</v>
      </c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  <c r="DY220" s="41"/>
      <c r="DZ220" s="41"/>
      <c r="EA220" s="41"/>
      <c r="EB220" s="41"/>
      <c r="EC220" s="41"/>
    </row>
    <row r="221" spans="1:133" s="75" customFormat="1" ht="14.25" customHeight="1" x14ac:dyDescent="0.25">
      <c r="A221" s="86">
        <v>44238</v>
      </c>
      <c r="B221" s="87" t="s">
        <v>269</v>
      </c>
      <c r="C221" s="85" t="s">
        <v>270</v>
      </c>
      <c r="D221" s="85" t="s">
        <v>271</v>
      </c>
      <c r="E221" s="89"/>
      <c r="F221" s="23">
        <v>141.82</v>
      </c>
      <c r="G221" s="95">
        <f t="shared" si="4"/>
        <v>33894822.410750158</v>
      </c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</row>
    <row r="222" spans="1:133" s="75" customFormat="1" ht="15.75" x14ac:dyDescent="0.25">
      <c r="A222" s="86">
        <v>44238</v>
      </c>
      <c r="B222" s="87" t="s">
        <v>272</v>
      </c>
      <c r="C222" s="85" t="s">
        <v>270</v>
      </c>
      <c r="D222" s="85" t="s">
        <v>273</v>
      </c>
      <c r="E222" s="89"/>
      <c r="F222" s="23">
        <v>817.04</v>
      </c>
      <c r="G222" s="95">
        <f t="shared" si="4"/>
        <v>33894005.370750159</v>
      </c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  <c r="DY222" s="41"/>
      <c r="DZ222" s="41"/>
      <c r="EA222" s="41"/>
      <c r="EB222" s="41"/>
      <c r="EC222" s="41"/>
    </row>
    <row r="223" spans="1:133" s="75" customFormat="1" ht="31.5" x14ac:dyDescent="0.25">
      <c r="A223" s="86">
        <v>44238</v>
      </c>
      <c r="B223" s="87" t="s">
        <v>274</v>
      </c>
      <c r="C223" s="85" t="s">
        <v>84</v>
      </c>
      <c r="D223" s="85" t="s">
        <v>275</v>
      </c>
      <c r="E223" s="89"/>
      <c r="F223" s="23">
        <v>142500</v>
      </c>
      <c r="G223" s="95">
        <f t="shared" si="4"/>
        <v>33751505.370750159</v>
      </c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  <c r="DY223" s="41"/>
      <c r="DZ223" s="41"/>
      <c r="EA223" s="41"/>
      <c r="EB223" s="41"/>
      <c r="EC223" s="41"/>
    </row>
    <row r="224" spans="1:133" s="75" customFormat="1" ht="31.5" x14ac:dyDescent="0.25">
      <c r="A224" s="86">
        <v>44238</v>
      </c>
      <c r="B224" s="87" t="s">
        <v>274</v>
      </c>
      <c r="C224" s="85" t="s">
        <v>84</v>
      </c>
      <c r="D224" s="85" t="s">
        <v>232</v>
      </c>
      <c r="E224" s="89"/>
      <c r="F224" s="23">
        <v>7500</v>
      </c>
      <c r="G224" s="95">
        <f t="shared" si="4"/>
        <v>33744005.370750159</v>
      </c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  <c r="DY224" s="41"/>
      <c r="DZ224" s="41"/>
      <c r="EA224" s="41"/>
      <c r="EB224" s="41"/>
      <c r="EC224" s="41"/>
    </row>
    <row r="225" spans="1:133" s="75" customFormat="1" ht="31.5" x14ac:dyDescent="0.25">
      <c r="A225" s="86">
        <v>44238</v>
      </c>
      <c r="B225" s="87" t="s">
        <v>267</v>
      </c>
      <c r="C225" s="85" t="s">
        <v>276</v>
      </c>
      <c r="D225" s="85" t="s">
        <v>268</v>
      </c>
      <c r="E225" s="89"/>
      <c r="F225" s="23">
        <v>1027463.8</v>
      </c>
      <c r="G225" s="95">
        <f t="shared" si="4"/>
        <v>32716541.570750158</v>
      </c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  <c r="DY225" s="41"/>
      <c r="DZ225" s="41"/>
      <c r="EA225" s="41"/>
      <c r="EB225" s="41"/>
      <c r="EC225" s="41"/>
    </row>
    <row r="226" spans="1:133" s="75" customFormat="1" ht="31.5" x14ac:dyDescent="0.25">
      <c r="A226" s="86">
        <v>44238</v>
      </c>
      <c r="B226" s="87" t="s">
        <v>267</v>
      </c>
      <c r="C226" s="85" t="s">
        <v>276</v>
      </c>
      <c r="D226" s="85" t="s">
        <v>232</v>
      </c>
      <c r="E226" s="89"/>
      <c r="F226" s="23">
        <v>45463</v>
      </c>
      <c r="G226" s="94">
        <f t="shared" si="4"/>
        <v>32671078.570750158</v>
      </c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  <c r="DY226" s="41"/>
      <c r="DZ226" s="41"/>
      <c r="EA226" s="41"/>
      <c r="EB226" s="41"/>
      <c r="EC226" s="41"/>
    </row>
    <row r="227" spans="1:133" s="75" customFormat="1" ht="31.5" x14ac:dyDescent="0.25">
      <c r="A227" s="86">
        <v>44266</v>
      </c>
      <c r="B227" s="87" t="s">
        <v>277</v>
      </c>
      <c r="C227" s="85" t="s">
        <v>89</v>
      </c>
      <c r="D227" s="85" t="s">
        <v>278</v>
      </c>
      <c r="E227" s="89"/>
      <c r="F227" s="23">
        <v>548959.65</v>
      </c>
      <c r="G227" s="95">
        <f t="shared" si="4"/>
        <v>32122118.92075016</v>
      </c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  <c r="DY227" s="41"/>
      <c r="DZ227" s="41"/>
      <c r="EA227" s="41"/>
      <c r="EB227" s="41"/>
      <c r="EC227" s="41"/>
    </row>
    <row r="228" spans="1:133" s="75" customFormat="1" ht="15" customHeight="1" x14ac:dyDescent="0.25">
      <c r="A228" s="86">
        <v>44266</v>
      </c>
      <c r="B228" s="87" t="s">
        <v>277</v>
      </c>
      <c r="C228" s="85" t="s">
        <v>89</v>
      </c>
      <c r="D228" s="85" t="s">
        <v>232</v>
      </c>
      <c r="E228" s="90"/>
      <c r="F228" s="23">
        <v>24290.25</v>
      </c>
      <c r="G228" s="94">
        <f>G227+E228-F228</f>
        <v>32097828.67075016</v>
      </c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  <c r="DY228" s="41"/>
      <c r="DZ228" s="41"/>
      <c r="EA228" s="41"/>
      <c r="EB228" s="41"/>
      <c r="EC228" s="41"/>
    </row>
    <row r="229" spans="1:133" s="75" customFormat="1" ht="15" customHeight="1" x14ac:dyDescent="0.25">
      <c r="A229" s="86">
        <v>44297</v>
      </c>
      <c r="B229" s="87" t="s">
        <v>261</v>
      </c>
      <c r="C229" s="85" t="s">
        <v>44</v>
      </c>
      <c r="D229" s="85" t="s">
        <v>290</v>
      </c>
      <c r="E229" s="89">
        <v>170583.48</v>
      </c>
      <c r="F229" s="89"/>
      <c r="G229" s="95">
        <f t="shared" ref="G229:G292" si="5">G228+E229-F229</f>
        <v>32268412.15075016</v>
      </c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  <c r="DY229" s="41"/>
      <c r="DZ229" s="41"/>
      <c r="EA229" s="41"/>
      <c r="EB229" s="41"/>
      <c r="EC229" s="41"/>
    </row>
    <row r="230" spans="1:133" s="75" customFormat="1" ht="15" customHeight="1" x14ac:dyDescent="0.25">
      <c r="A230" s="86">
        <v>44297</v>
      </c>
      <c r="B230" s="87" t="s">
        <v>291</v>
      </c>
      <c r="C230" s="85" t="s">
        <v>262</v>
      </c>
      <c r="D230" s="85" t="s">
        <v>292</v>
      </c>
      <c r="E230" s="89"/>
      <c r="F230" s="89">
        <v>170583.48</v>
      </c>
      <c r="G230" s="95">
        <f t="shared" si="5"/>
        <v>32097828.67075016</v>
      </c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  <c r="DY230" s="41"/>
      <c r="DZ230" s="41"/>
      <c r="EA230" s="41"/>
      <c r="EB230" s="41"/>
      <c r="EC230" s="41"/>
    </row>
    <row r="231" spans="1:133" s="75" customFormat="1" ht="15" customHeight="1" x14ac:dyDescent="0.25">
      <c r="A231" s="86">
        <v>44297</v>
      </c>
      <c r="B231" s="87" t="s">
        <v>291</v>
      </c>
      <c r="C231" s="85" t="s">
        <v>262</v>
      </c>
      <c r="D231" s="85" t="s">
        <v>138</v>
      </c>
      <c r="E231" s="89"/>
      <c r="F231" s="89">
        <v>6708.59</v>
      </c>
      <c r="G231" s="95">
        <f t="shared" si="5"/>
        <v>32091120.08075016</v>
      </c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</row>
    <row r="232" spans="1:133" s="75" customFormat="1" ht="15" customHeight="1" x14ac:dyDescent="0.25">
      <c r="A232" s="86">
        <v>44297</v>
      </c>
      <c r="B232" s="87" t="s">
        <v>280</v>
      </c>
      <c r="C232" s="85" t="s">
        <v>59</v>
      </c>
      <c r="D232" s="85" t="s">
        <v>281</v>
      </c>
      <c r="E232" s="89"/>
      <c r="F232" s="89">
        <f>696964.05</f>
        <v>696964.05</v>
      </c>
      <c r="G232" s="95">
        <f t="shared" si="5"/>
        <v>31394156.030750159</v>
      </c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  <c r="DY232" s="41"/>
      <c r="DZ232" s="41"/>
      <c r="EA232" s="41"/>
      <c r="EB232" s="41"/>
      <c r="EC232" s="41"/>
    </row>
    <row r="233" spans="1:133" s="75" customFormat="1" ht="15" customHeight="1" x14ac:dyDescent="0.25">
      <c r="A233" s="86">
        <v>44297</v>
      </c>
      <c r="B233" s="87" t="s">
        <v>280</v>
      </c>
      <c r="C233" s="85" t="s">
        <v>59</v>
      </c>
      <c r="D233" s="85" t="s">
        <v>232</v>
      </c>
      <c r="E233" s="89"/>
      <c r="F233" s="89">
        <f>33790.05</f>
        <v>33790.050000000003</v>
      </c>
      <c r="G233" s="95">
        <f t="shared" si="5"/>
        <v>31360365.980750158</v>
      </c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</row>
    <row r="234" spans="1:133" s="75" customFormat="1" ht="15" customHeight="1" x14ac:dyDescent="0.25">
      <c r="A234" s="86">
        <v>44297</v>
      </c>
      <c r="B234" s="87" t="s">
        <v>282</v>
      </c>
      <c r="C234" s="76" t="s">
        <v>55</v>
      </c>
      <c r="D234" s="76" t="s">
        <v>283</v>
      </c>
      <c r="E234" s="89"/>
      <c r="F234" s="89">
        <v>393300</v>
      </c>
      <c r="G234" s="95">
        <f t="shared" si="5"/>
        <v>30967065.980750158</v>
      </c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  <c r="DY234" s="41"/>
      <c r="DZ234" s="41"/>
      <c r="EA234" s="41"/>
      <c r="EB234" s="41"/>
      <c r="EC234" s="41"/>
    </row>
    <row r="235" spans="1:133" s="75" customFormat="1" ht="15" customHeight="1" x14ac:dyDescent="0.25">
      <c r="A235" s="86">
        <v>44297</v>
      </c>
      <c r="B235" s="87" t="s">
        <v>282</v>
      </c>
      <c r="C235" s="76" t="s">
        <v>55</v>
      </c>
      <c r="D235" s="76" t="s">
        <v>232</v>
      </c>
      <c r="E235" s="89"/>
      <c r="F235" s="89">
        <v>20700</v>
      </c>
      <c r="G235" s="95">
        <f t="shared" si="5"/>
        <v>30946365.980750158</v>
      </c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</row>
    <row r="236" spans="1:133" s="75" customFormat="1" ht="15" customHeight="1" x14ac:dyDescent="0.25">
      <c r="A236" s="86">
        <v>44297</v>
      </c>
      <c r="B236" s="87" t="s">
        <v>284</v>
      </c>
      <c r="C236" s="85" t="s">
        <v>97</v>
      </c>
      <c r="D236" s="85" t="s">
        <v>285</v>
      </c>
      <c r="E236" s="89"/>
      <c r="F236" s="89">
        <v>4200</v>
      </c>
      <c r="G236" s="95">
        <f t="shared" si="5"/>
        <v>30942165.980750158</v>
      </c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</row>
    <row r="237" spans="1:133" s="75" customFormat="1" ht="15" customHeight="1" x14ac:dyDescent="0.25">
      <c r="A237" s="86">
        <v>44297</v>
      </c>
      <c r="B237" s="87" t="s">
        <v>286</v>
      </c>
      <c r="C237" s="85" t="s">
        <v>287</v>
      </c>
      <c r="D237" s="85" t="s">
        <v>288</v>
      </c>
      <c r="E237" s="89"/>
      <c r="F237" s="89">
        <v>154416.16</v>
      </c>
      <c r="G237" s="95">
        <f t="shared" si="5"/>
        <v>30787749.820750158</v>
      </c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</row>
    <row r="238" spans="1:133" s="75" customFormat="1" ht="24" customHeight="1" x14ac:dyDescent="0.25">
      <c r="A238" s="86">
        <v>44297</v>
      </c>
      <c r="B238" s="87" t="s">
        <v>286</v>
      </c>
      <c r="C238" s="85" t="s">
        <v>287</v>
      </c>
      <c r="D238" s="85" t="s">
        <v>289</v>
      </c>
      <c r="E238" s="90"/>
      <c r="F238" s="23">
        <f>7749.51+7175.47</f>
        <v>14924.98</v>
      </c>
      <c r="G238" s="94">
        <f t="shared" si="5"/>
        <v>30772824.840750158</v>
      </c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</row>
    <row r="239" spans="1:133" s="75" customFormat="1" ht="15" customHeight="1" x14ac:dyDescent="0.25">
      <c r="A239" s="86">
        <v>44327</v>
      </c>
      <c r="B239" s="87"/>
      <c r="C239" s="85" t="s">
        <v>13</v>
      </c>
      <c r="D239" s="85" t="s">
        <v>22</v>
      </c>
      <c r="E239" s="89">
        <v>134645</v>
      </c>
      <c r="F239" s="89"/>
      <c r="G239" s="95">
        <f t="shared" si="5"/>
        <v>30907469.840750158</v>
      </c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</row>
    <row r="240" spans="1:133" s="75" customFormat="1" ht="15" customHeight="1" x14ac:dyDescent="0.25">
      <c r="A240" s="86">
        <v>44327</v>
      </c>
      <c r="B240" s="87"/>
      <c r="C240" s="85" t="s">
        <v>13</v>
      </c>
      <c r="D240" s="85" t="s">
        <v>48</v>
      </c>
      <c r="E240" s="89">
        <v>121</v>
      </c>
      <c r="F240" s="89">
        <f>E240*0.025</f>
        <v>3.0250000000000004</v>
      </c>
      <c r="G240" s="95">
        <f t="shared" si="5"/>
        <v>30907587.815750159</v>
      </c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</row>
    <row r="241" spans="1:133" s="75" customFormat="1" ht="15" customHeight="1" x14ac:dyDescent="0.25">
      <c r="A241" s="86">
        <v>44327</v>
      </c>
      <c r="B241" s="87"/>
      <c r="C241" s="85" t="s">
        <v>13</v>
      </c>
      <c r="D241" s="85" t="s">
        <v>48</v>
      </c>
      <c r="E241" s="89">
        <v>600</v>
      </c>
      <c r="F241" s="89">
        <f>E241*0.025</f>
        <v>15</v>
      </c>
      <c r="G241" s="95">
        <f t="shared" si="5"/>
        <v>30908172.815750159</v>
      </c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</row>
    <row r="242" spans="1:133" s="75" customFormat="1" ht="15" customHeight="1" x14ac:dyDescent="0.25">
      <c r="A242" s="86">
        <v>44327</v>
      </c>
      <c r="B242" s="87"/>
      <c r="C242" s="85" t="s">
        <v>13</v>
      </c>
      <c r="D242" s="85" t="s">
        <v>48</v>
      </c>
      <c r="E242" s="89">
        <v>2509.6999999999998</v>
      </c>
      <c r="F242" s="89">
        <f>E242*0.025</f>
        <v>62.7425</v>
      </c>
      <c r="G242" s="95">
        <f t="shared" si="5"/>
        <v>30910619.773250159</v>
      </c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</row>
    <row r="243" spans="1:133" s="75" customFormat="1" ht="15" customHeight="1" x14ac:dyDescent="0.25">
      <c r="A243" s="86">
        <v>44327</v>
      </c>
      <c r="B243" s="87"/>
      <c r="C243" s="85" t="s">
        <v>13</v>
      </c>
      <c r="D243" s="85" t="s">
        <v>48</v>
      </c>
      <c r="E243" s="89">
        <v>1600</v>
      </c>
      <c r="F243" s="89">
        <f>E243*0.025</f>
        <v>40</v>
      </c>
      <c r="G243" s="95">
        <f t="shared" si="5"/>
        <v>30912179.773250159</v>
      </c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</row>
    <row r="244" spans="1:133" s="75" customFormat="1" ht="15" customHeight="1" x14ac:dyDescent="0.25">
      <c r="A244" s="86">
        <v>44327</v>
      </c>
      <c r="B244" s="87"/>
      <c r="C244" s="85" t="s">
        <v>13</v>
      </c>
      <c r="D244" s="85" t="s">
        <v>48</v>
      </c>
      <c r="E244" s="89">
        <v>4000</v>
      </c>
      <c r="F244" s="89">
        <f>E244*0.025</f>
        <v>100</v>
      </c>
      <c r="G244" s="95">
        <f t="shared" si="5"/>
        <v>30916079.773250159</v>
      </c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</row>
    <row r="245" spans="1:133" s="75" customFormat="1" ht="15" customHeight="1" x14ac:dyDescent="0.25">
      <c r="A245" s="86">
        <v>44327</v>
      </c>
      <c r="B245" s="87" t="s">
        <v>298</v>
      </c>
      <c r="C245" s="85" t="s">
        <v>299</v>
      </c>
      <c r="D245" s="85" t="s">
        <v>300</v>
      </c>
      <c r="E245" s="89"/>
      <c r="F245" s="89">
        <v>116104.18</v>
      </c>
      <c r="G245" s="95">
        <f t="shared" si="5"/>
        <v>30799975.593250159</v>
      </c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</row>
    <row r="246" spans="1:133" s="75" customFormat="1" ht="15" customHeight="1" x14ac:dyDescent="0.25">
      <c r="A246" s="86">
        <v>44327</v>
      </c>
      <c r="B246" s="87" t="s">
        <v>298</v>
      </c>
      <c r="C246" s="85" t="s">
        <v>299</v>
      </c>
      <c r="D246" s="85" t="s">
        <v>316</v>
      </c>
      <c r="E246" s="89"/>
      <c r="F246" s="89">
        <f>2700+5256.82</f>
        <v>7956.82</v>
      </c>
      <c r="G246" s="95">
        <f t="shared" si="5"/>
        <v>30792018.773250159</v>
      </c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</row>
    <row r="247" spans="1:133" s="75" customFormat="1" ht="15" customHeight="1" x14ac:dyDescent="0.25">
      <c r="A247" s="86">
        <v>44327</v>
      </c>
      <c r="B247" s="87" t="s">
        <v>304</v>
      </c>
      <c r="C247" s="85" t="s">
        <v>305</v>
      </c>
      <c r="D247" s="85" t="s">
        <v>306</v>
      </c>
      <c r="E247" s="89"/>
      <c r="F247" s="89">
        <v>570674.30000000005</v>
      </c>
      <c r="G247" s="95">
        <f t="shared" si="5"/>
        <v>30221344.473250158</v>
      </c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</row>
    <row r="248" spans="1:133" s="75" customFormat="1" ht="15" customHeight="1" x14ac:dyDescent="0.25">
      <c r="A248" s="86">
        <v>44327</v>
      </c>
      <c r="B248" s="87" t="s">
        <v>304</v>
      </c>
      <c r="C248" s="85" t="s">
        <v>305</v>
      </c>
      <c r="D248" s="85" t="s">
        <v>316</v>
      </c>
      <c r="E248" s="89"/>
      <c r="F248" s="89">
        <f>28639.79+26518.32</f>
        <v>55158.11</v>
      </c>
      <c r="G248" s="95">
        <f t="shared" si="5"/>
        <v>30166186.363250159</v>
      </c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</row>
    <row r="249" spans="1:133" s="75" customFormat="1" ht="15" customHeight="1" x14ac:dyDescent="0.25">
      <c r="A249" s="86">
        <v>44327</v>
      </c>
      <c r="B249" s="87" t="s">
        <v>307</v>
      </c>
      <c r="C249" s="85" t="s">
        <v>308</v>
      </c>
      <c r="D249" s="85" t="s">
        <v>309</v>
      </c>
      <c r="E249" s="89"/>
      <c r="F249" s="89">
        <v>605793</v>
      </c>
      <c r="G249" s="95">
        <f t="shared" si="5"/>
        <v>29560393.363250159</v>
      </c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</row>
    <row r="250" spans="1:133" s="75" customFormat="1" ht="15" customHeight="1" x14ac:dyDescent="0.25">
      <c r="A250" s="86">
        <v>44327</v>
      </c>
      <c r="B250" s="87" t="s">
        <v>307</v>
      </c>
      <c r="C250" s="85" t="s">
        <v>308</v>
      </c>
      <c r="D250" s="85" t="s">
        <v>138</v>
      </c>
      <c r="E250" s="89"/>
      <c r="F250" s="89">
        <f>26805</f>
        <v>26805</v>
      </c>
      <c r="G250" s="95">
        <f t="shared" si="5"/>
        <v>29533588.363250159</v>
      </c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</row>
    <row r="251" spans="1:133" s="75" customFormat="1" ht="15" customHeight="1" x14ac:dyDescent="0.25">
      <c r="A251" s="86">
        <v>44327</v>
      </c>
      <c r="B251" s="87" t="s">
        <v>310</v>
      </c>
      <c r="C251" s="85" t="s">
        <v>94</v>
      </c>
      <c r="D251" s="85" t="s">
        <v>311</v>
      </c>
      <c r="E251" s="89"/>
      <c r="F251" s="89">
        <v>51300</v>
      </c>
      <c r="G251" s="95">
        <f t="shared" si="5"/>
        <v>29482288.363250159</v>
      </c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</row>
    <row r="252" spans="1:133" s="75" customFormat="1" ht="15" customHeight="1" x14ac:dyDescent="0.25">
      <c r="A252" s="86">
        <v>44327</v>
      </c>
      <c r="B252" s="87" t="s">
        <v>310</v>
      </c>
      <c r="C252" s="85" t="s">
        <v>94</v>
      </c>
      <c r="D252" s="85" t="s">
        <v>317</v>
      </c>
      <c r="E252" s="89"/>
      <c r="F252" s="89">
        <v>2700</v>
      </c>
      <c r="G252" s="95">
        <f t="shared" si="5"/>
        <v>29479588.363250159</v>
      </c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</row>
    <row r="253" spans="1:133" s="75" customFormat="1" ht="15" customHeight="1" x14ac:dyDescent="0.25">
      <c r="A253" s="86">
        <v>44327</v>
      </c>
      <c r="B253" s="87" t="s">
        <v>302</v>
      </c>
      <c r="C253" s="85" t="s">
        <v>32</v>
      </c>
      <c r="D253" s="85" t="s">
        <v>303</v>
      </c>
      <c r="E253" s="89"/>
      <c r="F253" s="89">
        <v>15889.9</v>
      </c>
      <c r="G253" s="94">
        <f t="shared" si="5"/>
        <v>29463698.46325016</v>
      </c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</row>
    <row r="254" spans="1:133" s="75" customFormat="1" ht="15" customHeight="1" x14ac:dyDescent="0.25">
      <c r="A254" s="86">
        <v>44419</v>
      </c>
      <c r="B254" s="87"/>
      <c r="C254" s="85" t="s">
        <v>13</v>
      </c>
      <c r="D254" s="85" t="s">
        <v>22</v>
      </c>
      <c r="E254" s="89">
        <v>46247</v>
      </c>
      <c r="F254" s="89"/>
      <c r="G254" s="95">
        <f t="shared" si="5"/>
        <v>29509945.46325016</v>
      </c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</row>
    <row r="255" spans="1:133" s="75" customFormat="1" ht="15" customHeight="1" x14ac:dyDescent="0.25">
      <c r="A255" s="86">
        <v>44419</v>
      </c>
      <c r="B255" s="87"/>
      <c r="C255" s="85" t="s">
        <v>13</v>
      </c>
      <c r="D255" s="85" t="s">
        <v>48</v>
      </c>
      <c r="E255" s="89">
        <v>200</v>
      </c>
      <c r="F255" s="89">
        <f>E255*0.025</f>
        <v>5</v>
      </c>
      <c r="G255" s="95">
        <f t="shared" si="5"/>
        <v>29510140.46325016</v>
      </c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</row>
    <row r="256" spans="1:133" s="75" customFormat="1" ht="21" customHeight="1" x14ac:dyDescent="0.25">
      <c r="A256" s="86">
        <v>44419</v>
      </c>
      <c r="B256" s="87"/>
      <c r="C256" s="85" t="s">
        <v>13</v>
      </c>
      <c r="D256" s="85" t="s">
        <v>48</v>
      </c>
      <c r="E256" s="89">
        <v>1600</v>
      </c>
      <c r="F256" s="89">
        <f>E256*0.025</f>
        <v>40</v>
      </c>
      <c r="G256" s="95">
        <f t="shared" si="5"/>
        <v>29511700.46325016</v>
      </c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</row>
    <row r="257" spans="1:133" s="75" customFormat="1" ht="21" customHeight="1" x14ac:dyDescent="0.25">
      <c r="A257" s="86">
        <v>44419</v>
      </c>
      <c r="B257" s="87"/>
      <c r="C257" s="85" t="s">
        <v>13</v>
      </c>
      <c r="D257" s="85" t="s">
        <v>48</v>
      </c>
      <c r="E257" s="89">
        <v>121</v>
      </c>
      <c r="F257" s="89">
        <f>E257*0.025</f>
        <v>3.0250000000000004</v>
      </c>
      <c r="G257" s="95">
        <f t="shared" si="5"/>
        <v>29511818.438250162</v>
      </c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</row>
    <row r="258" spans="1:133" s="75" customFormat="1" ht="21" customHeight="1" x14ac:dyDescent="0.25">
      <c r="A258" s="86">
        <v>44419</v>
      </c>
      <c r="B258" s="87"/>
      <c r="C258" s="85" t="s">
        <v>13</v>
      </c>
      <c r="D258" s="85" t="s">
        <v>48</v>
      </c>
      <c r="E258" s="89">
        <v>1700</v>
      </c>
      <c r="F258" s="89">
        <f>E258*0.025</f>
        <v>42.5</v>
      </c>
      <c r="G258" s="95">
        <f t="shared" si="5"/>
        <v>29513475.938250162</v>
      </c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</row>
    <row r="259" spans="1:133" s="75" customFormat="1" ht="31.5" x14ac:dyDescent="0.25">
      <c r="A259" s="86">
        <v>44419</v>
      </c>
      <c r="B259" s="87" t="s">
        <v>312</v>
      </c>
      <c r="C259" s="85" t="s">
        <v>56</v>
      </c>
      <c r="D259" s="85" t="s">
        <v>313</v>
      </c>
      <c r="E259" s="89"/>
      <c r="F259" s="89">
        <v>1438490</v>
      </c>
      <c r="G259" s="95">
        <f t="shared" si="5"/>
        <v>28074985.938250162</v>
      </c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</row>
    <row r="260" spans="1:133" s="75" customFormat="1" ht="15.75" x14ac:dyDescent="0.25">
      <c r="A260" s="86">
        <v>44419</v>
      </c>
      <c r="B260" s="87" t="s">
        <v>312</v>
      </c>
      <c r="C260" s="85" t="s">
        <v>56</v>
      </c>
      <c r="D260" s="85" t="s">
        <v>138</v>
      </c>
      <c r="E260" s="89"/>
      <c r="F260" s="89">
        <f>63650</f>
        <v>63650</v>
      </c>
      <c r="G260" s="94">
        <f t="shared" si="5"/>
        <v>28011335.938250162</v>
      </c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</row>
    <row r="261" spans="1:133" s="75" customFormat="1" ht="15" customHeight="1" x14ac:dyDescent="0.25">
      <c r="A261" s="86">
        <v>44450</v>
      </c>
      <c r="B261" s="87"/>
      <c r="C261" s="85" t="s">
        <v>13</v>
      </c>
      <c r="D261" s="85" t="s">
        <v>22</v>
      </c>
      <c r="E261" s="89">
        <v>71919</v>
      </c>
      <c r="F261" s="89"/>
      <c r="G261" s="95">
        <f t="shared" si="5"/>
        <v>28083254.938250162</v>
      </c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</row>
    <row r="262" spans="1:133" s="75" customFormat="1" ht="15" customHeight="1" x14ac:dyDescent="0.25">
      <c r="A262" s="86">
        <v>44450</v>
      </c>
      <c r="B262" s="87"/>
      <c r="C262" s="85" t="s">
        <v>13</v>
      </c>
      <c r="D262" s="85" t="s">
        <v>48</v>
      </c>
      <c r="E262" s="89">
        <v>19377.8</v>
      </c>
      <c r="F262" s="89">
        <f>E262*0.025</f>
        <v>484.44499999999999</v>
      </c>
      <c r="G262" s="95">
        <f t="shared" si="5"/>
        <v>28102148.293250162</v>
      </c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</row>
    <row r="263" spans="1:133" s="75" customFormat="1" ht="15" customHeight="1" x14ac:dyDescent="0.25">
      <c r="A263" s="86">
        <v>44450</v>
      </c>
      <c r="B263" s="87"/>
      <c r="C263" s="85" t="s">
        <v>73</v>
      </c>
      <c r="D263" s="85" t="s">
        <v>301</v>
      </c>
      <c r="E263" s="89">
        <v>271008.76</v>
      </c>
      <c r="F263" s="89"/>
      <c r="G263" s="95">
        <f t="shared" si="5"/>
        <v>28373157.053250164</v>
      </c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</row>
    <row r="264" spans="1:133" s="75" customFormat="1" ht="15" customHeight="1" x14ac:dyDescent="0.25">
      <c r="A264" s="86">
        <v>44450</v>
      </c>
      <c r="B264" s="87"/>
      <c r="C264" s="76" t="s">
        <v>12</v>
      </c>
      <c r="D264" s="85" t="s">
        <v>82</v>
      </c>
      <c r="E264" s="89">
        <v>253521.24</v>
      </c>
      <c r="F264" s="89"/>
      <c r="G264" s="95">
        <f t="shared" si="5"/>
        <v>28626678.293250162</v>
      </c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</row>
    <row r="265" spans="1:133" s="75" customFormat="1" ht="15" customHeight="1" x14ac:dyDescent="0.25">
      <c r="A265" s="86">
        <v>44450</v>
      </c>
      <c r="B265" s="87" t="s">
        <v>314</v>
      </c>
      <c r="C265" s="76" t="s">
        <v>47</v>
      </c>
      <c r="D265" s="85" t="s">
        <v>315</v>
      </c>
      <c r="E265" s="89"/>
      <c r="F265" s="89">
        <v>18000</v>
      </c>
      <c r="G265" s="95">
        <f t="shared" si="5"/>
        <v>28608678.293250162</v>
      </c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</row>
    <row r="266" spans="1:133" s="75" customFormat="1" ht="15" customHeight="1" x14ac:dyDescent="0.25">
      <c r="A266" s="86">
        <v>44450</v>
      </c>
      <c r="B266" s="87" t="s">
        <v>314</v>
      </c>
      <c r="C266" s="76" t="s">
        <v>47</v>
      </c>
      <c r="D266" s="85" t="s">
        <v>316</v>
      </c>
      <c r="E266" s="89"/>
      <c r="F266" s="89">
        <f>3600+2000</f>
        <v>5600</v>
      </c>
      <c r="G266" s="94">
        <f t="shared" si="5"/>
        <v>28603078.293250162</v>
      </c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</row>
    <row r="267" spans="1:133" s="75" customFormat="1" ht="15" customHeight="1" x14ac:dyDescent="0.25">
      <c r="A267" s="86">
        <v>44480</v>
      </c>
      <c r="B267" s="87" t="s">
        <v>318</v>
      </c>
      <c r="C267" s="76" t="s">
        <v>81</v>
      </c>
      <c r="D267" s="85" t="s">
        <v>319</v>
      </c>
      <c r="E267" s="89"/>
      <c r="F267" s="89">
        <v>24116.1</v>
      </c>
      <c r="G267" s="95">
        <f t="shared" si="5"/>
        <v>28578962.193250161</v>
      </c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</row>
    <row r="268" spans="1:133" s="75" customFormat="1" ht="15" customHeight="1" x14ac:dyDescent="0.25">
      <c r="A268" s="86">
        <v>44480</v>
      </c>
      <c r="B268" s="87" t="s">
        <v>318</v>
      </c>
      <c r="C268" s="76" t="s">
        <v>81</v>
      </c>
      <c r="D268" s="85" t="s">
        <v>138</v>
      </c>
      <c r="E268" s="89"/>
      <c r="F268" s="89">
        <v>970.21</v>
      </c>
      <c r="G268" s="95">
        <f t="shared" si="5"/>
        <v>28577991.98325016</v>
      </c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</row>
    <row r="269" spans="1:133" s="75" customFormat="1" ht="15" customHeight="1" x14ac:dyDescent="0.25">
      <c r="A269" s="86">
        <v>44480</v>
      </c>
      <c r="B269" s="87"/>
      <c r="C269" s="76" t="s">
        <v>13</v>
      </c>
      <c r="D269" s="85" t="s">
        <v>22</v>
      </c>
      <c r="E269" s="89">
        <v>55431</v>
      </c>
      <c r="F269" s="89"/>
      <c r="G269" s="95">
        <f t="shared" si="5"/>
        <v>28633422.98325016</v>
      </c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</row>
    <row r="270" spans="1:133" s="75" customFormat="1" ht="15" customHeight="1" x14ac:dyDescent="0.25">
      <c r="A270" s="86">
        <v>44480</v>
      </c>
      <c r="B270" s="87"/>
      <c r="C270" s="76" t="s">
        <v>13</v>
      </c>
      <c r="D270" s="85" t="s">
        <v>48</v>
      </c>
      <c r="E270" s="89">
        <v>300</v>
      </c>
      <c r="F270" s="89">
        <f>E270*0.025</f>
        <v>7.5</v>
      </c>
      <c r="G270" s="95">
        <f t="shared" si="5"/>
        <v>28633715.48325016</v>
      </c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</row>
    <row r="271" spans="1:133" s="75" customFormat="1" ht="15" customHeight="1" x14ac:dyDescent="0.25">
      <c r="A271" s="86">
        <v>44480</v>
      </c>
      <c r="B271" s="87"/>
      <c r="C271" s="76" t="s">
        <v>13</v>
      </c>
      <c r="D271" s="85" t="s">
        <v>48</v>
      </c>
      <c r="E271" s="89">
        <v>222</v>
      </c>
      <c r="F271" s="89">
        <f>E271*0.025</f>
        <v>5.5500000000000007</v>
      </c>
      <c r="G271" s="95">
        <f t="shared" si="5"/>
        <v>28633931.933250159</v>
      </c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</row>
    <row r="272" spans="1:133" s="75" customFormat="1" ht="15" customHeight="1" x14ac:dyDescent="0.25">
      <c r="A272" s="86">
        <v>44480</v>
      </c>
      <c r="B272" s="87"/>
      <c r="C272" s="76" t="s">
        <v>13</v>
      </c>
      <c r="D272" s="85" t="s">
        <v>48</v>
      </c>
      <c r="E272" s="89">
        <v>4000</v>
      </c>
      <c r="F272" s="89">
        <f>E272*0.025</f>
        <v>100</v>
      </c>
      <c r="G272" s="95">
        <f t="shared" si="5"/>
        <v>28637831.933250159</v>
      </c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</row>
    <row r="273" spans="1:133" s="75" customFormat="1" ht="15" customHeight="1" x14ac:dyDescent="0.25">
      <c r="A273" s="86">
        <v>44480</v>
      </c>
      <c r="B273" s="87"/>
      <c r="C273" s="76" t="s">
        <v>13</v>
      </c>
      <c r="D273" s="85" t="s">
        <v>48</v>
      </c>
      <c r="E273" s="89">
        <v>480</v>
      </c>
      <c r="F273" s="89">
        <f>E273*0.025</f>
        <v>12</v>
      </c>
      <c r="G273" s="95">
        <f t="shared" si="5"/>
        <v>28638299.933250159</v>
      </c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</row>
    <row r="274" spans="1:133" s="75" customFormat="1" ht="15" customHeight="1" x14ac:dyDescent="0.25">
      <c r="A274" s="86">
        <v>44480</v>
      </c>
      <c r="B274" s="87"/>
      <c r="C274" s="76" t="s">
        <v>12</v>
      </c>
      <c r="D274" s="85" t="s">
        <v>301</v>
      </c>
      <c r="E274" s="89">
        <v>155463.53</v>
      </c>
      <c r="F274" s="89"/>
      <c r="G274" s="94">
        <f t="shared" si="5"/>
        <v>28793763.46325016</v>
      </c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</row>
    <row r="275" spans="1:133" s="75" customFormat="1" ht="15" customHeight="1" x14ac:dyDescent="0.25">
      <c r="A275" s="86">
        <v>44511</v>
      </c>
      <c r="B275" s="87"/>
      <c r="C275" s="76" t="s">
        <v>13</v>
      </c>
      <c r="D275" s="85" t="s">
        <v>22</v>
      </c>
      <c r="E275" s="89">
        <v>50990</v>
      </c>
      <c r="F275" s="89"/>
      <c r="G275" s="95">
        <f t="shared" si="5"/>
        <v>28844753.46325016</v>
      </c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</row>
    <row r="276" spans="1:133" s="75" customFormat="1" ht="15" customHeight="1" x14ac:dyDescent="0.25">
      <c r="A276" s="86">
        <v>44511</v>
      </c>
      <c r="B276" s="87"/>
      <c r="C276" s="76" t="s">
        <v>13</v>
      </c>
      <c r="D276" s="85" t="s">
        <v>48</v>
      </c>
      <c r="E276" s="89">
        <v>2764.02</v>
      </c>
      <c r="F276" s="89">
        <f>E276*0.025</f>
        <v>69.100499999999997</v>
      </c>
      <c r="G276" s="95">
        <f t="shared" si="5"/>
        <v>28847448.382750161</v>
      </c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</row>
    <row r="277" spans="1:133" s="75" customFormat="1" ht="47.25" x14ac:dyDescent="0.25">
      <c r="A277" s="86">
        <v>44511</v>
      </c>
      <c r="B277" s="87" t="s">
        <v>320</v>
      </c>
      <c r="C277" s="76" t="s">
        <v>321</v>
      </c>
      <c r="D277" s="85" t="s">
        <v>322</v>
      </c>
      <c r="E277" s="89"/>
      <c r="F277" s="89">
        <v>1373200.87</v>
      </c>
      <c r="G277" s="95">
        <f t="shared" si="5"/>
        <v>27474247.51275016</v>
      </c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</row>
    <row r="278" spans="1:133" s="75" customFormat="1" ht="15" customHeight="1" x14ac:dyDescent="0.25">
      <c r="A278" s="86">
        <v>44511</v>
      </c>
      <c r="B278" s="87" t="s">
        <v>320</v>
      </c>
      <c r="C278" s="76" t="s">
        <v>321</v>
      </c>
      <c r="D278" s="85" t="s">
        <v>232</v>
      </c>
      <c r="E278" s="89"/>
      <c r="F278" s="89">
        <v>71710.960000000006</v>
      </c>
      <c r="G278" s="94">
        <f t="shared" si="5"/>
        <v>27402536.552750159</v>
      </c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</row>
    <row r="279" spans="1:133" s="75" customFormat="1" ht="15" customHeight="1" x14ac:dyDescent="0.25">
      <c r="A279" s="86">
        <v>44541</v>
      </c>
      <c r="B279" s="87" t="s">
        <v>323</v>
      </c>
      <c r="C279" s="76" t="s">
        <v>35</v>
      </c>
      <c r="D279" s="85" t="s">
        <v>325</v>
      </c>
      <c r="E279" s="89"/>
      <c r="F279" s="89">
        <v>413805.77</v>
      </c>
      <c r="G279" s="95">
        <f t="shared" si="5"/>
        <v>26988730.78275016</v>
      </c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</row>
    <row r="280" spans="1:133" s="75" customFormat="1" ht="15" customHeight="1" x14ac:dyDescent="0.25">
      <c r="A280" s="86">
        <v>44541</v>
      </c>
      <c r="B280" s="87" t="s">
        <v>323</v>
      </c>
      <c r="C280" s="76" t="s">
        <v>35</v>
      </c>
      <c r="D280" s="85" t="s">
        <v>138</v>
      </c>
      <c r="E280" s="89"/>
      <c r="F280" s="89">
        <v>18309.990000000002</v>
      </c>
      <c r="G280" s="95">
        <f t="shared" si="5"/>
        <v>26970420.792750161</v>
      </c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</row>
    <row r="281" spans="1:133" s="75" customFormat="1" ht="15" customHeight="1" x14ac:dyDescent="0.25">
      <c r="A281" s="86">
        <v>44541</v>
      </c>
      <c r="B281" s="87" t="s">
        <v>324</v>
      </c>
      <c r="C281" s="76" t="s">
        <v>326</v>
      </c>
      <c r="D281" s="85" t="s">
        <v>327</v>
      </c>
      <c r="E281" s="89"/>
      <c r="F281" s="89">
        <v>23000</v>
      </c>
      <c r="G281" s="95">
        <f t="shared" si="5"/>
        <v>26947420.792750161</v>
      </c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</row>
    <row r="282" spans="1:133" s="75" customFormat="1" ht="15" customHeight="1" x14ac:dyDescent="0.25">
      <c r="A282" s="86">
        <v>44541</v>
      </c>
      <c r="B282" s="87"/>
      <c r="C282" s="76" t="s">
        <v>13</v>
      </c>
      <c r="D282" s="85" t="s">
        <v>22</v>
      </c>
      <c r="E282" s="89">
        <v>84676</v>
      </c>
      <c r="F282" s="89"/>
      <c r="G282" s="95">
        <f t="shared" si="5"/>
        <v>27032096.792750161</v>
      </c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  <c r="DY282" s="41"/>
      <c r="DZ282" s="41"/>
      <c r="EA282" s="41"/>
      <c r="EB282" s="41"/>
      <c r="EC282" s="41"/>
    </row>
    <row r="283" spans="1:133" s="75" customFormat="1" ht="15" customHeight="1" x14ac:dyDescent="0.25">
      <c r="A283" s="86">
        <v>44541</v>
      </c>
      <c r="B283" s="87"/>
      <c r="C283" s="76" t="s">
        <v>13</v>
      </c>
      <c r="D283" s="85" t="s">
        <v>48</v>
      </c>
      <c r="E283" s="89">
        <v>600</v>
      </c>
      <c r="F283" s="89">
        <f>E283*0.025</f>
        <v>15</v>
      </c>
      <c r="G283" s="95">
        <f t="shared" si="5"/>
        <v>27032681.792750161</v>
      </c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  <c r="EA283" s="41"/>
      <c r="EB283" s="41"/>
      <c r="EC283" s="41"/>
    </row>
    <row r="284" spans="1:133" s="75" customFormat="1" ht="15" customHeight="1" x14ac:dyDescent="0.25">
      <c r="A284" s="86">
        <v>44541</v>
      </c>
      <c r="B284" s="87"/>
      <c r="C284" s="76" t="s">
        <v>13</v>
      </c>
      <c r="D284" s="85" t="s">
        <v>48</v>
      </c>
      <c r="E284" s="89">
        <v>465.32</v>
      </c>
      <c r="F284" s="89">
        <f t="shared" ref="F284:F295" si="6">E284*0.025</f>
        <v>11.633000000000001</v>
      </c>
      <c r="G284" s="95">
        <f t="shared" si="5"/>
        <v>27033135.47975016</v>
      </c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DT284" s="41"/>
      <c r="DU284" s="41"/>
      <c r="DV284" s="41"/>
      <c r="DW284" s="41"/>
      <c r="DX284" s="41"/>
      <c r="DY284" s="41"/>
      <c r="DZ284" s="41"/>
      <c r="EA284" s="41"/>
      <c r="EB284" s="41"/>
      <c r="EC284" s="41"/>
    </row>
    <row r="285" spans="1:133" s="75" customFormat="1" ht="15" customHeight="1" x14ac:dyDescent="0.25">
      <c r="A285" s="86">
        <v>44541</v>
      </c>
      <c r="B285" s="87"/>
      <c r="C285" s="76" t="s">
        <v>13</v>
      </c>
      <c r="D285" s="85" t="s">
        <v>48</v>
      </c>
      <c r="E285" s="89">
        <v>772.91</v>
      </c>
      <c r="F285" s="89">
        <f t="shared" si="6"/>
        <v>19.322749999999999</v>
      </c>
      <c r="G285" s="95">
        <f t="shared" si="5"/>
        <v>27033889.067000162</v>
      </c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  <c r="EA285" s="41"/>
      <c r="EB285" s="41"/>
      <c r="EC285" s="41"/>
    </row>
    <row r="286" spans="1:133" s="75" customFormat="1" ht="15" customHeight="1" x14ac:dyDescent="0.25">
      <c r="A286" s="86">
        <v>44541</v>
      </c>
      <c r="B286" s="87"/>
      <c r="C286" s="76" t="s">
        <v>13</v>
      </c>
      <c r="D286" s="85" t="s">
        <v>48</v>
      </c>
      <c r="E286" s="89">
        <v>465.32</v>
      </c>
      <c r="F286" s="89">
        <f t="shared" si="6"/>
        <v>11.633000000000001</v>
      </c>
      <c r="G286" s="95">
        <f t="shared" si="5"/>
        <v>27034342.754000161</v>
      </c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  <c r="DY286" s="41"/>
      <c r="DZ286" s="41"/>
      <c r="EA286" s="41"/>
      <c r="EB286" s="41"/>
      <c r="EC286" s="41"/>
    </row>
    <row r="287" spans="1:133" s="75" customFormat="1" ht="15" customHeight="1" x14ac:dyDescent="0.25">
      <c r="A287" s="86">
        <v>44541</v>
      </c>
      <c r="B287" s="87"/>
      <c r="C287" s="76" t="s">
        <v>13</v>
      </c>
      <c r="D287" s="85" t="s">
        <v>48</v>
      </c>
      <c r="E287" s="89">
        <v>121</v>
      </c>
      <c r="F287" s="89">
        <f t="shared" si="6"/>
        <v>3.0250000000000004</v>
      </c>
      <c r="G287" s="95">
        <f t="shared" si="5"/>
        <v>27034460.729000162</v>
      </c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  <c r="DY287" s="41"/>
      <c r="DZ287" s="41"/>
      <c r="EA287" s="41"/>
      <c r="EB287" s="41"/>
      <c r="EC287" s="41"/>
    </row>
    <row r="288" spans="1:133" s="75" customFormat="1" ht="15" customHeight="1" x14ac:dyDescent="0.25">
      <c r="A288" s="86">
        <v>44541</v>
      </c>
      <c r="B288" s="87"/>
      <c r="C288" s="76" t="s">
        <v>13</v>
      </c>
      <c r="D288" s="85" t="s">
        <v>48</v>
      </c>
      <c r="E288" s="89">
        <v>310.82</v>
      </c>
      <c r="F288" s="89">
        <f t="shared" si="6"/>
        <v>7.7705000000000002</v>
      </c>
      <c r="G288" s="95">
        <f t="shared" si="5"/>
        <v>27034763.778500162</v>
      </c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DT288" s="41"/>
      <c r="DU288" s="41"/>
      <c r="DV288" s="41"/>
      <c r="DW288" s="41"/>
      <c r="DX288" s="41"/>
      <c r="DY288" s="41"/>
      <c r="DZ288" s="41"/>
      <c r="EA288" s="41"/>
      <c r="EB288" s="41"/>
      <c r="EC288" s="41"/>
    </row>
    <row r="289" spans="1:133" s="75" customFormat="1" ht="15" customHeight="1" x14ac:dyDescent="0.25">
      <c r="A289" s="86">
        <v>44541</v>
      </c>
      <c r="B289" s="87"/>
      <c r="C289" s="76" t="s">
        <v>13</v>
      </c>
      <c r="D289" s="85" t="s">
        <v>48</v>
      </c>
      <c r="E289" s="89">
        <v>667.9</v>
      </c>
      <c r="F289" s="89">
        <f t="shared" si="6"/>
        <v>16.697500000000002</v>
      </c>
      <c r="G289" s="95">
        <f t="shared" si="5"/>
        <v>27035414.981000159</v>
      </c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  <c r="DY289" s="41"/>
      <c r="DZ289" s="41"/>
      <c r="EA289" s="41"/>
      <c r="EB289" s="41"/>
      <c r="EC289" s="41"/>
    </row>
    <row r="290" spans="1:133" s="75" customFormat="1" ht="15" customHeight="1" x14ac:dyDescent="0.25">
      <c r="A290" s="86">
        <v>44541</v>
      </c>
      <c r="B290" s="87"/>
      <c r="C290" s="76" t="s">
        <v>13</v>
      </c>
      <c r="D290" s="85" t="s">
        <v>48</v>
      </c>
      <c r="E290" s="89">
        <v>1079</v>
      </c>
      <c r="F290" s="89">
        <f t="shared" si="6"/>
        <v>26.975000000000001</v>
      </c>
      <c r="G290" s="95">
        <f t="shared" si="5"/>
        <v>27036467.006000157</v>
      </c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DT290" s="41"/>
      <c r="DU290" s="41"/>
      <c r="DV290" s="41"/>
      <c r="DW290" s="41"/>
      <c r="DX290" s="41"/>
      <c r="DY290" s="41"/>
      <c r="DZ290" s="41"/>
      <c r="EA290" s="41"/>
      <c r="EB290" s="41"/>
      <c r="EC290" s="41"/>
    </row>
    <row r="291" spans="1:133" s="75" customFormat="1" ht="15" customHeight="1" x14ac:dyDescent="0.25">
      <c r="A291" s="86">
        <v>44541</v>
      </c>
      <c r="B291" s="87"/>
      <c r="C291" s="76" t="s">
        <v>13</v>
      </c>
      <c r="D291" s="85" t="s">
        <v>48</v>
      </c>
      <c r="E291" s="89">
        <v>11988.88</v>
      </c>
      <c r="F291" s="89">
        <f t="shared" si="6"/>
        <v>299.72199999999998</v>
      </c>
      <c r="G291" s="94">
        <f t="shared" si="5"/>
        <v>27048156.164000157</v>
      </c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DT291" s="41"/>
      <c r="DU291" s="41"/>
      <c r="DV291" s="41"/>
      <c r="DW291" s="41"/>
      <c r="DX291" s="41"/>
      <c r="DY291" s="41"/>
      <c r="DZ291" s="41"/>
      <c r="EA291" s="41"/>
      <c r="EB291" s="41"/>
      <c r="EC291" s="41"/>
    </row>
    <row r="292" spans="1:133" s="75" customFormat="1" ht="15" customHeight="1" x14ac:dyDescent="0.25">
      <c r="A292" s="86" t="s">
        <v>328</v>
      </c>
      <c r="B292" s="87"/>
      <c r="C292" s="76" t="s">
        <v>13</v>
      </c>
      <c r="D292" s="85" t="s">
        <v>22</v>
      </c>
      <c r="E292" s="89">
        <v>21862</v>
      </c>
      <c r="F292" s="89"/>
      <c r="G292" s="95">
        <f t="shared" si="5"/>
        <v>27070018.164000157</v>
      </c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DT292" s="41"/>
      <c r="DU292" s="41"/>
      <c r="DV292" s="41"/>
      <c r="DW292" s="41"/>
      <c r="DX292" s="41"/>
      <c r="DY292" s="41"/>
      <c r="DZ292" s="41"/>
      <c r="EA292" s="41"/>
      <c r="EB292" s="41"/>
      <c r="EC292" s="41"/>
    </row>
    <row r="293" spans="1:133" s="75" customFormat="1" ht="15" customHeight="1" x14ac:dyDescent="0.25">
      <c r="A293" s="86" t="s">
        <v>328</v>
      </c>
      <c r="B293" s="87"/>
      <c r="C293" s="76" t="s">
        <v>13</v>
      </c>
      <c r="D293" s="85" t="s">
        <v>48</v>
      </c>
      <c r="E293" s="89">
        <v>457.78</v>
      </c>
      <c r="F293" s="89">
        <f t="shared" si="6"/>
        <v>11.4445</v>
      </c>
      <c r="G293" s="95">
        <f t="shared" ref="G293:G339" si="7">G292+E293-F293</f>
        <v>27070464.499500159</v>
      </c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/>
      <c r="DV293" s="41"/>
      <c r="DW293" s="41"/>
      <c r="DX293" s="41"/>
      <c r="DY293" s="41"/>
      <c r="DZ293" s="41"/>
      <c r="EA293" s="41"/>
      <c r="EB293" s="41"/>
      <c r="EC293" s="41"/>
    </row>
    <row r="294" spans="1:133" s="75" customFormat="1" ht="15" customHeight="1" x14ac:dyDescent="0.25">
      <c r="A294" s="86" t="s">
        <v>328</v>
      </c>
      <c r="B294" s="87"/>
      <c r="C294" s="76" t="s">
        <v>13</v>
      </c>
      <c r="D294" s="85" t="s">
        <v>48</v>
      </c>
      <c r="E294" s="89">
        <v>100</v>
      </c>
      <c r="F294" s="89">
        <f t="shared" si="6"/>
        <v>2.5</v>
      </c>
      <c r="G294" s="95">
        <f t="shared" si="7"/>
        <v>27070561.999500159</v>
      </c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DT294" s="41"/>
      <c r="DU294" s="41"/>
      <c r="DV294" s="41"/>
      <c r="DW294" s="41"/>
      <c r="DX294" s="41"/>
      <c r="DY294" s="41"/>
      <c r="DZ294" s="41"/>
      <c r="EA294" s="41"/>
      <c r="EB294" s="41"/>
      <c r="EC294" s="41"/>
    </row>
    <row r="295" spans="1:133" s="75" customFormat="1" ht="15" customHeight="1" x14ac:dyDescent="0.25">
      <c r="A295" s="86" t="s">
        <v>328</v>
      </c>
      <c r="B295" s="87"/>
      <c r="C295" s="76" t="s">
        <v>13</v>
      </c>
      <c r="D295" s="85" t="s">
        <v>48</v>
      </c>
      <c r="E295" s="89">
        <v>363</v>
      </c>
      <c r="F295" s="89">
        <f t="shared" si="6"/>
        <v>9.0750000000000011</v>
      </c>
      <c r="G295" s="95">
        <f t="shared" si="7"/>
        <v>27070915.92450016</v>
      </c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</row>
    <row r="296" spans="1:133" s="75" customFormat="1" ht="15" customHeight="1" x14ac:dyDescent="0.25">
      <c r="A296" s="86" t="s">
        <v>328</v>
      </c>
      <c r="B296" s="87" t="s">
        <v>329</v>
      </c>
      <c r="C296" s="76" t="s">
        <v>332</v>
      </c>
      <c r="D296" s="85" t="s">
        <v>333</v>
      </c>
      <c r="E296" s="89"/>
      <c r="F296" s="89">
        <v>172814</v>
      </c>
      <c r="G296" s="95">
        <f t="shared" si="7"/>
        <v>26898101.92450016</v>
      </c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  <c r="DY296" s="41"/>
      <c r="DZ296" s="41"/>
      <c r="EA296" s="41"/>
      <c r="EB296" s="41"/>
      <c r="EC296" s="41"/>
    </row>
    <row r="297" spans="1:133" s="75" customFormat="1" ht="15" customHeight="1" x14ac:dyDescent="0.25">
      <c r="A297" s="86" t="s">
        <v>328</v>
      </c>
      <c r="B297" s="87" t="s">
        <v>329</v>
      </c>
      <c r="C297" s="76" t="s">
        <v>332</v>
      </c>
      <c r="D297" s="85" t="s">
        <v>138</v>
      </c>
      <c r="E297" s="89"/>
      <c r="F297" s="89">
        <v>9024.7999999999993</v>
      </c>
      <c r="G297" s="95">
        <f t="shared" si="7"/>
        <v>26889077.124500159</v>
      </c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  <c r="EA297" s="41"/>
      <c r="EB297" s="41"/>
      <c r="EC297" s="41"/>
    </row>
    <row r="298" spans="1:133" s="75" customFormat="1" ht="15" customHeight="1" x14ac:dyDescent="0.25">
      <c r="A298" s="86" t="s">
        <v>328</v>
      </c>
      <c r="B298" s="87" t="s">
        <v>330</v>
      </c>
      <c r="C298" s="76" t="s">
        <v>334</v>
      </c>
      <c r="D298" s="85" t="s">
        <v>335</v>
      </c>
      <c r="E298" s="89"/>
      <c r="F298" s="89">
        <v>68223.75</v>
      </c>
      <c r="G298" s="95">
        <f t="shared" si="7"/>
        <v>26820853.374500159</v>
      </c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  <c r="DY298" s="41"/>
      <c r="DZ298" s="41"/>
      <c r="EA298" s="41"/>
      <c r="EB298" s="41"/>
      <c r="EC298" s="41"/>
    </row>
    <row r="299" spans="1:133" s="75" customFormat="1" ht="15" customHeight="1" x14ac:dyDescent="0.25">
      <c r="A299" s="86" t="s">
        <v>328</v>
      </c>
      <c r="B299" s="87" t="s">
        <v>330</v>
      </c>
      <c r="C299" s="76" t="s">
        <v>334</v>
      </c>
      <c r="D299" s="85" t="s">
        <v>138</v>
      </c>
      <c r="E299" s="89"/>
      <c r="F299" s="89">
        <v>3018.75</v>
      </c>
      <c r="G299" s="95">
        <f t="shared" si="7"/>
        <v>26817834.624500159</v>
      </c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  <c r="EA299" s="41"/>
      <c r="EB299" s="41"/>
      <c r="EC299" s="41"/>
    </row>
    <row r="300" spans="1:133" s="75" customFormat="1" ht="15" customHeight="1" x14ac:dyDescent="0.25">
      <c r="A300" s="86" t="s">
        <v>328</v>
      </c>
      <c r="B300" s="87" t="s">
        <v>331</v>
      </c>
      <c r="C300" s="76" t="s">
        <v>57</v>
      </c>
      <c r="D300" s="85" t="s">
        <v>336</v>
      </c>
      <c r="E300" s="89"/>
      <c r="F300" s="89">
        <v>543153.24</v>
      </c>
      <c r="G300" s="95">
        <f t="shared" si="7"/>
        <v>26274681.384500161</v>
      </c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  <c r="DY300" s="41"/>
      <c r="DZ300" s="41"/>
      <c r="EA300" s="41"/>
      <c r="EB300" s="41"/>
      <c r="EC300" s="41"/>
    </row>
    <row r="301" spans="1:133" s="75" customFormat="1" ht="15" customHeight="1" x14ac:dyDescent="0.25">
      <c r="A301" s="86" t="s">
        <v>328</v>
      </c>
      <c r="B301" s="87" t="s">
        <v>331</v>
      </c>
      <c r="C301" s="76" t="s">
        <v>57</v>
      </c>
      <c r="D301" s="85" t="s">
        <v>138</v>
      </c>
      <c r="E301" s="89"/>
      <c r="F301" s="89">
        <v>26577.9</v>
      </c>
      <c r="G301" s="95">
        <f t="shared" si="7"/>
        <v>26248103.484500162</v>
      </c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</row>
    <row r="302" spans="1:133" s="75" customFormat="1" ht="15" customHeight="1" x14ac:dyDescent="0.25">
      <c r="A302" s="86" t="s">
        <v>328</v>
      </c>
      <c r="B302" s="87" t="s">
        <v>340</v>
      </c>
      <c r="C302" s="76" t="s">
        <v>32</v>
      </c>
      <c r="D302" s="85" t="s">
        <v>343</v>
      </c>
      <c r="E302" s="89"/>
      <c r="F302" s="89">
        <v>438848</v>
      </c>
      <c r="G302" s="95">
        <f t="shared" si="7"/>
        <v>25809255.484500162</v>
      </c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  <c r="DY302" s="41"/>
      <c r="DZ302" s="41"/>
      <c r="EA302" s="41"/>
      <c r="EB302" s="41"/>
      <c r="EC302" s="41"/>
    </row>
    <row r="303" spans="1:133" s="75" customFormat="1" ht="15" customHeight="1" x14ac:dyDescent="0.25">
      <c r="A303" s="86" t="s">
        <v>328</v>
      </c>
      <c r="B303" s="87" t="s">
        <v>341</v>
      </c>
      <c r="C303" s="76" t="s">
        <v>32</v>
      </c>
      <c r="D303" s="85" t="s">
        <v>342</v>
      </c>
      <c r="E303" s="89"/>
      <c r="F303" s="89">
        <v>358801.44</v>
      </c>
      <c r="G303" s="94">
        <f t="shared" si="7"/>
        <v>25450454.044500161</v>
      </c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  <c r="DY303" s="41"/>
      <c r="DZ303" s="41"/>
      <c r="EA303" s="41"/>
      <c r="EB303" s="41"/>
      <c r="EC303" s="41"/>
    </row>
    <row r="304" spans="1:133" s="75" customFormat="1" ht="15" customHeight="1" x14ac:dyDescent="0.25">
      <c r="A304" s="86" t="s">
        <v>337</v>
      </c>
      <c r="B304" s="87"/>
      <c r="C304" s="76" t="s">
        <v>13</v>
      </c>
      <c r="D304" s="85" t="s">
        <v>22</v>
      </c>
      <c r="E304" s="89">
        <v>23322</v>
      </c>
      <c r="F304" s="89"/>
      <c r="G304" s="95">
        <f t="shared" si="7"/>
        <v>25473776.044500161</v>
      </c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DT304" s="41"/>
      <c r="DU304" s="41"/>
      <c r="DV304" s="41"/>
      <c r="DW304" s="41"/>
      <c r="DX304" s="41"/>
      <c r="DY304" s="41"/>
      <c r="DZ304" s="41"/>
      <c r="EA304" s="41"/>
      <c r="EB304" s="41"/>
      <c r="EC304" s="41"/>
    </row>
    <row r="305" spans="1:133" s="75" customFormat="1" ht="15" customHeight="1" x14ac:dyDescent="0.25">
      <c r="A305" s="86" t="s">
        <v>337</v>
      </c>
      <c r="B305" s="87"/>
      <c r="C305" s="76" t="s">
        <v>13</v>
      </c>
      <c r="D305" s="85" t="s">
        <v>48</v>
      </c>
      <c r="E305" s="89">
        <v>811.18</v>
      </c>
      <c r="F305" s="89">
        <f>E305*0.025</f>
        <v>20.279499999999999</v>
      </c>
      <c r="G305" s="94">
        <f t="shared" si="7"/>
        <v>25474566.94500016</v>
      </c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/>
      <c r="DX305" s="41"/>
      <c r="DY305" s="41"/>
      <c r="DZ305" s="41"/>
      <c r="EA305" s="41"/>
      <c r="EB305" s="41"/>
      <c r="EC305" s="41"/>
    </row>
    <row r="306" spans="1:133" s="75" customFormat="1" ht="15" customHeight="1" x14ac:dyDescent="0.25">
      <c r="A306" s="86" t="s">
        <v>338</v>
      </c>
      <c r="B306" s="87"/>
      <c r="C306" s="76" t="s">
        <v>13</v>
      </c>
      <c r="D306" s="85" t="s">
        <v>22</v>
      </c>
      <c r="E306" s="89">
        <v>34030</v>
      </c>
      <c r="F306" s="89"/>
      <c r="G306" s="95">
        <f t="shared" si="7"/>
        <v>25508596.94500016</v>
      </c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DT306" s="41"/>
      <c r="DU306" s="41"/>
      <c r="DV306" s="41"/>
      <c r="DW306" s="41"/>
      <c r="DX306" s="41"/>
      <c r="DY306" s="41"/>
      <c r="DZ306" s="41"/>
      <c r="EA306" s="41"/>
      <c r="EB306" s="41"/>
      <c r="EC306" s="41"/>
    </row>
    <row r="307" spans="1:133" s="75" customFormat="1" ht="15" customHeight="1" x14ac:dyDescent="0.25">
      <c r="A307" s="86" t="s">
        <v>338</v>
      </c>
      <c r="B307" s="87"/>
      <c r="C307" s="76" t="s">
        <v>13</v>
      </c>
      <c r="D307" s="85" t="s">
        <v>48</v>
      </c>
      <c r="E307" s="89">
        <v>24.69</v>
      </c>
      <c r="F307" s="89">
        <f>E307*0.025</f>
        <v>0.61725000000000008</v>
      </c>
      <c r="G307" s="95">
        <f t="shared" si="7"/>
        <v>25508621.017750163</v>
      </c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DT307" s="41"/>
      <c r="DU307" s="41"/>
      <c r="DV307" s="41"/>
      <c r="DW307" s="41"/>
      <c r="DX307" s="41"/>
      <c r="DY307" s="41"/>
      <c r="DZ307" s="41"/>
      <c r="EA307" s="41"/>
      <c r="EB307" s="41"/>
      <c r="EC307" s="41"/>
    </row>
    <row r="308" spans="1:133" s="75" customFormat="1" ht="15" customHeight="1" x14ac:dyDescent="0.25">
      <c r="A308" s="86" t="s">
        <v>338</v>
      </c>
      <c r="B308" s="87"/>
      <c r="C308" s="76" t="s">
        <v>12</v>
      </c>
      <c r="D308" s="85" t="s">
        <v>69</v>
      </c>
      <c r="E308" s="89">
        <v>2394514.23</v>
      </c>
      <c r="F308" s="89"/>
      <c r="G308" s="95">
        <f t="shared" si="7"/>
        <v>27903135.247750163</v>
      </c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  <c r="DY308" s="41"/>
      <c r="DZ308" s="41"/>
      <c r="EA308" s="41"/>
      <c r="EB308" s="41"/>
      <c r="EC308" s="41"/>
    </row>
    <row r="309" spans="1:133" s="75" customFormat="1" ht="15" customHeight="1" x14ac:dyDescent="0.25">
      <c r="A309" s="86" t="s">
        <v>338</v>
      </c>
      <c r="B309" s="87"/>
      <c r="C309" s="76" t="s">
        <v>12</v>
      </c>
      <c r="D309" s="85" t="s">
        <v>80</v>
      </c>
      <c r="E309" s="89">
        <v>1114497.93</v>
      </c>
      <c r="F309" s="89"/>
      <c r="G309" s="95">
        <f t="shared" si="7"/>
        <v>29017633.177750163</v>
      </c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</row>
    <row r="310" spans="1:133" s="75" customFormat="1" ht="15" customHeight="1" x14ac:dyDescent="0.25">
      <c r="A310" s="86" t="s">
        <v>338</v>
      </c>
      <c r="B310" s="87"/>
      <c r="C310" s="76" t="s">
        <v>12</v>
      </c>
      <c r="D310" s="85" t="s">
        <v>339</v>
      </c>
      <c r="E310" s="89">
        <v>157990</v>
      </c>
      <c r="F310" s="89"/>
      <c r="G310" s="95">
        <f t="shared" si="7"/>
        <v>29175623.177750163</v>
      </c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DT310" s="41"/>
      <c r="DU310" s="41"/>
      <c r="DV310" s="41"/>
      <c r="DW310" s="41"/>
      <c r="DX310" s="41"/>
      <c r="DY310" s="41"/>
      <c r="DZ310" s="41"/>
      <c r="EA310" s="41"/>
      <c r="EB310" s="41"/>
      <c r="EC310" s="41"/>
    </row>
    <row r="311" spans="1:133" s="75" customFormat="1" ht="15" customHeight="1" x14ac:dyDescent="0.25">
      <c r="A311" s="86" t="s">
        <v>338</v>
      </c>
      <c r="B311" s="87"/>
      <c r="C311" s="76" t="s">
        <v>12</v>
      </c>
      <c r="D311" s="85" t="s">
        <v>79</v>
      </c>
      <c r="E311" s="89">
        <v>345937.43</v>
      </c>
      <c r="F311" s="89"/>
      <c r="G311" s="95">
        <f t="shared" si="7"/>
        <v>29521560.607750162</v>
      </c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  <c r="EA311" s="41"/>
      <c r="EB311" s="41"/>
      <c r="EC311" s="41"/>
    </row>
    <row r="312" spans="1:133" s="75" customFormat="1" ht="15" customHeight="1" x14ac:dyDescent="0.25">
      <c r="A312" s="86" t="s">
        <v>338</v>
      </c>
      <c r="B312" s="87" t="s">
        <v>344</v>
      </c>
      <c r="C312" s="76" t="s">
        <v>63</v>
      </c>
      <c r="D312" s="85" t="s">
        <v>345</v>
      </c>
      <c r="E312" s="89"/>
      <c r="F312" s="89">
        <v>784456.5</v>
      </c>
      <c r="G312" s="95">
        <f t="shared" si="7"/>
        <v>28737104.107750162</v>
      </c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</row>
    <row r="313" spans="1:133" s="75" customFormat="1" ht="15" customHeight="1" x14ac:dyDescent="0.25">
      <c r="A313" s="86" t="s">
        <v>338</v>
      </c>
      <c r="B313" s="87" t="s">
        <v>344</v>
      </c>
      <c r="C313" s="76" t="s">
        <v>63</v>
      </c>
      <c r="D313" s="85" t="s">
        <v>137</v>
      </c>
      <c r="E313" s="89"/>
      <c r="F313" s="89">
        <v>80822.5</v>
      </c>
      <c r="G313" s="95">
        <f t="shared" si="7"/>
        <v>28656281.607750162</v>
      </c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</row>
    <row r="314" spans="1:133" s="75" customFormat="1" ht="63" x14ac:dyDescent="0.25">
      <c r="A314" s="86" t="s">
        <v>338</v>
      </c>
      <c r="B314" s="87" t="s">
        <v>346</v>
      </c>
      <c r="C314" s="76" t="s">
        <v>99</v>
      </c>
      <c r="D314" s="85" t="s">
        <v>347</v>
      </c>
      <c r="E314" s="89"/>
      <c r="F314" s="89">
        <v>1226972.3799999999</v>
      </c>
      <c r="G314" s="95">
        <f t="shared" si="7"/>
        <v>27429309.227750164</v>
      </c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</row>
    <row r="315" spans="1:133" s="75" customFormat="1" ht="15" customHeight="1" x14ac:dyDescent="0.25">
      <c r="A315" s="86" t="s">
        <v>338</v>
      </c>
      <c r="B315" s="87" t="s">
        <v>346</v>
      </c>
      <c r="C315" s="76" t="s">
        <v>99</v>
      </c>
      <c r="D315" s="85" t="s">
        <v>138</v>
      </c>
      <c r="E315" s="89"/>
      <c r="F315" s="89">
        <v>60807.6</v>
      </c>
      <c r="G315" s="95">
        <f t="shared" si="7"/>
        <v>27368501.627750162</v>
      </c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</row>
    <row r="316" spans="1:133" s="75" customFormat="1" ht="31.5" x14ac:dyDescent="0.25">
      <c r="A316" s="86" t="s">
        <v>338</v>
      </c>
      <c r="B316" s="87" t="s">
        <v>348</v>
      </c>
      <c r="C316" s="85" t="s">
        <v>96</v>
      </c>
      <c r="D316" s="85" t="s">
        <v>349</v>
      </c>
      <c r="E316" s="89"/>
      <c r="F316" s="89">
        <v>210894.16</v>
      </c>
      <c r="G316" s="95">
        <f t="shared" si="7"/>
        <v>27157607.467750162</v>
      </c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DT316" s="41"/>
      <c r="DU316" s="41"/>
      <c r="DV316" s="41"/>
      <c r="DW316" s="41"/>
      <c r="DX316" s="41"/>
      <c r="DY316" s="41"/>
      <c r="DZ316" s="41"/>
      <c r="EA316" s="41"/>
      <c r="EB316" s="41"/>
      <c r="EC316" s="41"/>
    </row>
    <row r="317" spans="1:133" s="75" customFormat="1" ht="31.5" x14ac:dyDescent="0.25">
      <c r="A317" s="86" t="s">
        <v>338</v>
      </c>
      <c r="B317" s="87" t="s">
        <v>348</v>
      </c>
      <c r="C317" s="85" t="s">
        <v>96</v>
      </c>
      <c r="D317" s="85" t="s">
        <v>138</v>
      </c>
      <c r="E317" s="89"/>
      <c r="F317" s="89">
        <v>9331.6</v>
      </c>
      <c r="G317" s="94">
        <f t="shared" si="7"/>
        <v>27148275.86775016</v>
      </c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  <c r="EA317" s="41"/>
      <c r="EB317" s="41"/>
      <c r="EC317" s="41"/>
    </row>
    <row r="318" spans="1:133" s="75" customFormat="1" ht="31.5" x14ac:dyDescent="0.25">
      <c r="A318" s="86" t="s">
        <v>350</v>
      </c>
      <c r="B318" s="87" t="s">
        <v>351</v>
      </c>
      <c r="C318" s="85" t="s">
        <v>353</v>
      </c>
      <c r="D318" s="85" t="s">
        <v>352</v>
      </c>
      <c r="E318" s="89"/>
      <c r="F318" s="89">
        <v>8977.5</v>
      </c>
      <c r="G318" s="95">
        <f t="shared" si="7"/>
        <v>27139298.36775016</v>
      </c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  <c r="DY318" s="41"/>
      <c r="DZ318" s="41"/>
      <c r="EA318" s="41"/>
      <c r="EB318" s="41"/>
      <c r="EC318" s="41"/>
    </row>
    <row r="319" spans="1:133" s="75" customFormat="1" ht="15.75" x14ac:dyDescent="0.25">
      <c r="A319" s="86" t="s">
        <v>350</v>
      </c>
      <c r="B319" s="87" t="s">
        <v>351</v>
      </c>
      <c r="C319" s="85" t="s">
        <v>353</v>
      </c>
      <c r="D319" s="85" t="s">
        <v>317</v>
      </c>
      <c r="E319" s="89"/>
      <c r="F319" s="89">
        <v>472.5</v>
      </c>
      <c r="G319" s="94">
        <f t="shared" si="7"/>
        <v>27138825.86775016</v>
      </c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/>
      <c r="DX319" s="41"/>
      <c r="DY319" s="41"/>
      <c r="DZ319" s="41"/>
      <c r="EA319" s="41"/>
      <c r="EB319" s="41"/>
      <c r="EC319" s="41"/>
    </row>
    <row r="320" spans="1:133" s="75" customFormat="1" ht="15.75" x14ac:dyDescent="0.25">
      <c r="A320" s="86" t="s">
        <v>354</v>
      </c>
      <c r="B320" s="87"/>
      <c r="C320" s="76" t="s">
        <v>13</v>
      </c>
      <c r="D320" s="85" t="s">
        <v>22</v>
      </c>
      <c r="E320" s="89">
        <v>63998</v>
      </c>
      <c r="F320" s="89"/>
      <c r="G320" s="95">
        <f t="shared" si="7"/>
        <v>27202823.86775016</v>
      </c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  <c r="DY320" s="41"/>
      <c r="DZ320" s="41"/>
      <c r="EA320" s="41"/>
      <c r="EB320" s="41"/>
      <c r="EC320" s="41"/>
    </row>
    <row r="321" spans="1:133" s="75" customFormat="1" ht="15.75" x14ac:dyDescent="0.25">
      <c r="A321" s="86" t="s">
        <v>354</v>
      </c>
      <c r="B321" s="87"/>
      <c r="C321" s="76" t="s">
        <v>13</v>
      </c>
      <c r="D321" s="85" t="s">
        <v>48</v>
      </c>
      <c r="E321" s="89">
        <v>100</v>
      </c>
      <c r="F321" s="89">
        <f>E321*0.025</f>
        <v>2.5</v>
      </c>
      <c r="G321" s="95">
        <f t="shared" si="7"/>
        <v>27202921.36775016</v>
      </c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DT321" s="41"/>
      <c r="DU321" s="41"/>
      <c r="DV321" s="41"/>
      <c r="DW321" s="41"/>
      <c r="DX321" s="41"/>
      <c r="DY321" s="41"/>
      <c r="DZ321" s="41"/>
      <c r="EA321" s="41"/>
      <c r="EB321" s="41"/>
      <c r="EC321" s="41"/>
    </row>
    <row r="322" spans="1:133" s="75" customFormat="1" ht="15.75" x14ac:dyDescent="0.25">
      <c r="A322" s="86" t="s">
        <v>354</v>
      </c>
      <c r="B322" s="87"/>
      <c r="C322" s="76" t="s">
        <v>13</v>
      </c>
      <c r="D322" s="85" t="s">
        <v>48</v>
      </c>
      <c r="E322" s="89">
        <v>690.4</v>
      </c>
      <c r="F322" s="89">
        <f>E322*0.025</f>
        <v>17.260000000000002</v>
      </c>
      <c r="G322" s="95">
        <f t="shared" si="7"/>
        <v>27203594.507750157</v>
      </c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</row>
    <row r="323" spans="1:133" s="75" customFormat="1" ht="15.75" x14ac:dyDescent="0.25">
      <c r="A323" s="86" t="s">
        <v>354</v>
      </c>
      <c r="B323" s="87"/>
      <c r="C323" s="76" t="s">
        <v>13</v>
      </c>
      <c r="D323" s="85" t="s">
        <v>48</v>
      </c>
      <c r="E323" s="89">
        <v>2457.88</v>
      </c>
      <c r="F323" s="89">
        <f>E323*0.025</f>
        <v>61.447000000000003</v>
      </c>
      <c r="G323" s="95">
        <f t="shared" si="7"/>
        <v>27205990.940750156</v>
      </c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DT323" s="41"/>
      <c r="DU323" s="41"/>
      <c r="DV323" s="41"/>
      <c r="DW323" s="41"/>
      <c r="DX323" s="41"/>
      <c r="DY323" s="41"/>
      <c r="DZ323" s="41"/>
      <c r="EA323" s="41"/>
      <c r="EB323" s="41"/>
      <c r="EC323" s="41"/>
    </row>
    <row r="324" spans="1:133" s="75" customFormat="1" ht="15.75" x14ac:dyDescent="0.25">
      <c r="A324" s="86" t="s">
        <v>354</v>
      </c>
      <c r="B324" s="87"/>
      <c r="C324" s="85" t="s">
        <v>73</v>
      </c>
      <c r="D324" s="85" t="s">
        <v>23</v>
      </c>
      <c r="E324" s="89">
        <v>6259201.5300000003</v>
      </c>
      <c r="F324" s="89"/>
      <c r="G324" s="95">
        <f t="shared" si="7"/>
        <v>33465192.470750157</v>
      </c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DT324" s="41"/>
      <c r="DU324" s="41"/>
      <c r="DV324" s="41"/>
      <c r="DW324" s="41"/>
      <c r="DX324" s="41"/>
      <c r="DY324" s="41"/>
      <c r="DZ324" s="41"/>
      <c r="EA324" s="41"/>
      <c r="EB324" s="41"/>
      <c r="EC324" s="41"/>
    </row>
    <row r="325" spans="1:133" s="75" customFormat="1" ht="15.75" x14ac:dyDescent="0.25">
      <c r="A325" s="86" t="s">
        <v>354</v>
      </c>
      <c r="B325" s="87"/>
      <c r="C325" s="85" t="s">
        <v>73</v>
      </c>
      <c r="D325" s="85" t="s">
        <v>23</v>
      </c>
      <c r="E325" s="89">
        <v>535286</v>
      </c>
      <c r="F325" s="89"/>
      <c r="G325" s="95">
        <f t="shared" si="7"/>
        <v>34000478.470750153</v>
      </c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  <c r="DY325" s="41"/>
      <c r="DZ325" s="41"/>
      <c r="EA325" s="41"/>
      <c r="EB325" s="41"/>
      <c r="EC325" s="41"/>
    </row>
    <row r="326" spans="1:133" s="75" customFormat="1" ht="15.75" x14ac:dyDescent="0.25">
      <c r="A326" s="86" t="s">
        <v>354</v>
      </c>
      <c r="B326" s="87"/>
      <c r="C326" s="85" t="s">
        <v>73</v>
      </c>
      <c r="D326" s="85" t="s">
        <v>28</v>
      </c>
      <c r="E326" s="89">
        <v>115528.61</v>
      </c>
      <c r="F326" s="89"/>
      <c r="G326" s="95">
        <f t="shared" si="7"/>
        <v>34116007.080750152</v>
      </c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DT326" s="41"/>
      <c r="DU326" s="41"/>
      <c r="DV326" s="41"/>
      <c r="DW326" s="41"/>
      <c r="DX326" s="41"/>
      <c r="DY326" s="41"/>
      <c r="DZ326" s="41"/>
      <c r="EA326" s="41"/>
      <c r="EB326" s="41"/>
      <c r="EC326" s="41"/>
    </row>
    <row r="327" spans="1:133" s="75" customFormat="1" ht="15.75" x14ac:dyDescent="0.25">
      <c r="A327" s="86" t="s">
        <v>354</v>
      </c>
      <c r="B327" s="87"/>
      <c r="C327" s="85" t="s">
        <v>73</v>
      </c>
      <c r="D327" s="85" t="s">
        <v>26</v>
      </c>
      <c r="E327" s="89">
        <v>50000</v>
      </c>
      <c r="F327" s="89"/>
      <c r="G327" s="95">
        <f t="shared" si="7"/>
        <v>34166007.080750152</v>
      </c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  <c r="DY327" s="41"/>
      <c r="DZ327" s="41"/>
      <c r="EA327" s="41"/>
      <c r="EB327" s="41"/>
      <c r="EC327" s="41"/>
    </row>
    <row r="328" spans="1:133" s="75" customFormat="1" ht="15.75" x14ac:dyDescent="0.25">
      <c r="A328" s="86" t="s">
        <v>354</v>
      </c>
      <c r="B328" s="87"/>
      <c r="C328" s="85" t="s">
        <v>73</v>
      </c>
      <c r="D328" s="85" t="s">
        <v>23</v>
      </c>
      <c r="E328" s="89">
        <v>5520</v>
      </c>
      <c r="F328" s="89"/>
      <c r="G328" s="94">
        <f t="shared" si="7"/>
        <v>34171527.080750152</v>
      </c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DT328" s="41"/>
      <c r="DU328" s="41"/>
      <c r="DV328" s="41"/>
      <c r="DW328" s="41"/>
      <c r="DX328" s="41"/>
      <c r="DY328" s="41"/>
      <c r="DZ328" s="41"/>
      <c r="EA328" s="41"/>
      <c r="EB328" s="41"/>
      <c r="EC328" s="41"/>
    </row>
    <row r="329" spans="1:133" s="75" customFormat="1" ht="15.75" x14ac:dyDescent="0.25">
      <c r="A329" s="86" t="s">
        <v>355</v>
      </c>
      <c r="B329" s="87"/>
      <c r="C329" s="76" t="s">
        <v>13</v>
      </c>
      <c r="D329" s="85" t="s">
        <v>22</v>
      </c>
      <c r="E329" s="89">
        <v>32005</v>
      </c>
      <c r="F329" s="89"/>
      <c r="G329" s="95">
        <f t="shared" si="7"/>
        <v>34203532.080750152</v>
      </c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  <c r="EA329" s="41"/>
      <c r="EB329" s="41"/>
      <c r="EC329" s="41"/>
    </row>
    <row r="330" spans="1:133" s="75" customFormat="1" ht="15.75" x14ac:dyDescent="0.25">
      <c r="A330" s="86" t="s">
        <v>355</v>
      </c>
      <c r="B330" s="87"/>
      <c r="C330" s="76" t="s">
        <v>13</v>
      </c>
      <c r="D330" s="85" t="s">
        <v>48</v>
      </c>
      <c r="E330" s="89">
        <v>3540.4</v>
      </c>
      <c r="F330" s="89">
        <f>E330*0.025</f>
        <v>88.51</v>
      </c>
      <c r="G330" s="95">
        <f t="shared" si="7"/>
        <v>34206983.970750153</v>
      </c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DT330" s="41"/>
      <c r="DU330" s="41"/>
      <c r="DV330" s="41"/>
      <c r="DW330" s="41"/>
      <c r="DX330" s="41"/>
      <c r="DY330" s="41"/>
      <c r="DZ330" s="41"/>
      <c r="EA330" s="41"/>
      <c r="EB330" s="41"/>
      <c r="EC330" s="41"/>
    </row>
    <row r="331" spans="1:133" s="75" customFormat="1" ht="63" x14ac:dyDescent="0.25">
      <c r="A331" s="86" t="s">
        <v>355</v>
      </c>
      <c r="B331" s="87" t="s">
        <v>356</v>
      </c>
      <c r="C331" s="85" t="s">
        <v>62</v>
      </c>
      <c r="D331" s="85" t="s">
        <v>357</v>
      </c>
      <c r="E331" s="89"/>
      <c r="F331" s="89">
        <v>1438343.96</v>
      </c>
      <c r="G331" s="95">
        <f t="shared" si="7"/>
        <v>32768640.010750152</v>
      </c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</row>
    <row r="332" spans="1:133" s="75" customFormat="1" ht="15.75" x14ac:dyDescent="0.25">
      <c r="A332" s="86" t="s">
        <v>355</v>
      </c>
      <c r="B332" s="87" t="s">
        <v>356</v>
      </c>
      <c r="C332" s="85" t="s">
        <v>62</v>
      </c>
      <c r="D332" s="85" t="s">
        <v>138</v>
      </c>
      <c r="E332" s="89"/>
      <c r="F332" s="89">
        <v>75238.25</v>
      </c>
      <c r="G332" s="94">
        <f t="shared" si="7"/>
        <v>32693401.760750152</v>
      </c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  <c r="DY332" s="41"/>
      <c r="DZ332" s="41"/>
      <c r="EA332" s="41"/>
      <c r="EB332" s="41"/>
      <c r="EC332" s="41"/>
    </row>
    <row r="333" spans="1:133" s="75" customFormat="1" ht="15.75" x14ac:dyDescent="0.25">
      <c r="A333" s="86" t="s">
        <v>358</v>
      </c>
      <c r="B333" s="87"/>
      <c r="C333" s="76" t="s">
        <v>13</v>
      </c>
      <c r="D333" s="85" t="s">
        <v>22</v>
      </c>
      <c r="E333" s="89">
        <v>35741</v>
      </c>
      <c r="F333" s="89"/>
      <c r="G333" s="95">
        <f t="shared" si="7"/>
        <v>32729142.760750152</v>
      </c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  <c r="EA333" s="41"/>
      <c r="EB333" s="41"/>
      <c r="EC333" s="41"/>
    </row>
    <row r="334" spans="1:133" s="75" customFormat="1" ht="15.75" x14ac:dyDescent="0.25">
      <c r="A334" s="86" t="s">
        <v>358</v>
      </c>
      <c r="B334" s="87"/>
      <c r="C334" s="76" t="s">
        <v>13</v>
      </c>
      <c r="D334" s="85" t="s">
        <v>48</v>
      </c>
      <c r="E334" s="89">
        <v>571</v>
      </c>
      <c r="F334" s="89">
        <f>E334*0.025</f>
        <v>14.275</v>
      </c>
      <c r="G334" s="94">
        <f t="shared" si="7"/>
        <v>32729699.485750154</v>
      </c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  <c r="DY334" s="41"/>
      <c r="DZ334" s="41"/>
      <c r="EA334" s="41"/>
      <c r="EB334" s="41"/>
      <c r="EC334" s="41"/>
    </row>
    <row r="335" spans="1:133" s="75" customFormat="1" ht="15.75" x14ac:dyDescent="0.25">
      <c r="A335" s="86" t="s">
        <v>359</v>
      </c>
      <c r="B335" s="87"/>
      <c r="C335" s="76" t="s">
        <v>13</v>
      </c>
      <c r="D335" s="85" t="s">
        <v>22</v>
      </c>
      <c r="E335" s="89">
        <v>23897</v>
      </c>
      <c r="F335" s="89"/>
      <c r="G335" s="94">
        <f t="shared" si="7"/>
        <v>32753596.485750154</v>
      </c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  <c r="DY335" s="41"/>
      <c r="DZ335" s="41"/>
      <c r="EA335" s="41"/>
      <c r="EB335" s="41"/>
      <c r="EC335" s="41"/>
    </row>
    <row r="336" spans="1:133" s="75" customFormat="1" ht="15.75" x14ac:dyDescent="0.25">
      <c r="A336" s="86" t="s">
        <v>359</v>
      </c>
      <c r="B336" s="87"/>
      <c r="C336" s="76" t="s">
        <v>13</v>
      </c>
      <c r="D336" s="85" t="s">
        <v>48</v>
      </c>
      <c r="E336" s="89">
        <v>1395.44</v>
      </c>
      <c r="F336" s="89"/>
      <c r="G336" s="95">
        <f t="shared" si="7"/>
        <v>32754991.925750155</v>
      </c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  <c r="DU336" s="41"/>
      <c r="DV336" s="41"/>
      <c r="DW336" s="41"/>
      <c r="DX336" s="41"/>
      <c r="DY336" s="41"/>
      <c r="DZ336" s="41"/>
      <c r="EA336" s="41"/>
      <c r="EB336" s="41"/>
      <c r="EC336" s="41"/>
    </row>
    <row r="337" spans="1:133" s="75" customFormat="1" ht="15.75" x14ac:dyDescent="0.25">
      <c r="A337" s="86" t="s">
        <v>359</v>
      </c>
      <c r="B337" s="87"/>
      <c r="C337" s="76" t="s">
        <v>73</v>
      </c>
      <c r="D337" s="85" t="s">
        <v>360</v>
      </c>
      <c r="E337" s="89">
        <v>1004707.01</v>
      </c>
      <c r="F337" s="89"/>
      <c r="G337" s="95">
        <f t="shared" si="7"/>
        <v>33759698.935750157</v>
      </c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  <c r="DY337" s="41"/>
      <c r="DZ337" s="41"/>
      <c r="EA337" s="41"/>
      <c r="EB337" s="41"/>
      <c r="EC337" s="41"/>
    </row>
    <row r="338" spans="1:133" s="75" customFormat="1" ht="15.75" x14ac:dyDescent="0.25">
      <c r="A338" s="86" t="s">
        <v>359</v>
      </c>
      <c r="B338" s="87"/>
      <c r="C338" s="76" t="s">
        <v>73</v>
      </c>
      <c r="D338" s="85" t="s">
        <v>361</v>
      </c>
      <c r="E338" s="89">
        <v>292862</v>
      </c>
      <c r="F338" s="89"/>
      <c r="G338" s="95">
        <f t="shared" si="7"/>
        <v>34052560.935750157</v>
      </c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</row>
    <row r="339" spans="1:133" s="75" customFormat="1" ht="18" customHeight="1" x14ac:dyDescent="0.25">
      <c r="A339" s="86" t="s">
        <v>359</v>
      </c>
      <c r="B339" s="87"/>
      <c r="C339" s="76" t="s">
        <v>73</v>
      </c>
      <c r="D339" s="85" t="s">
        <v>93</v>
      </c>
      <c r="E339" s="89">
        <v>50000</v>
      </c>
      <c r="F339" s="89"/>
      <c r="G339" s="95">
        <f t="shared" si="7"/>
        <v>34102560.935750157</v>
      </c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  <c r="DY339" s="41"/>
      <c r="DZ339" s="41"/>
      <c r="EA339" s="41"/>
      <c r="EB339" s="41"/>
      <c r="EC339" s="41"/>
    </row>
    <row r="340" spans="1:133" s="75" customFormat="1" ht="15.75" x14ac:dyDescent="0.25">
      <c r="A340" s="86" t="s">
        <v>359</v>
      </c>
      <c r="B340" s="87"/>
      <c r="C340" s="76" t="s">
        <v>73</v>
      </c>
      <c r="D340" s="85" t="s">
        <v>361</v>
      </c>
      <c r="E340" s="89">
        <v>1785.86</v>
      </c>
      <c r="F340" s="89"/>
      <c r="G340" s="95">
        <f>G339+E340-F340</f>
        <v>34104346.795750156</v>
      </c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  <c r="DY340" s="41"/>
      <c r="DZ340" s="41"/>
      <c r="EA340" s="41"/>
      <c r="EB340" s="41"/>
      <c r="EC340" s="41"/>
    </row>
    <row r="341" spans="1:133" s="75" customFormat="1" ht="31.5" x14ac:dyDescent="0.25">
      <c r="A341" s="86" t="s">
        <v>359</v>
      </c>
      <c r="B341" s="87" t="s">
        <v>364</v>
      </c>
      <c r="C341" s="76" t="s">
        <v>32</v>
      </c>
      <c r="D341" s="85" t="s">
        <v>363</v>
      </c>
      <c r="E341" s="89">
        <v>30286180.510000002</v>
      </c>
      <c r="F341" s="89"/>
      <c r="G341" s="95">
        <f t="shared" ref="G341:G366" si="8">G340+E341-F341</f>
        <v>64390527.305750161</v>
      </c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  <c r="DY341" s="41"/>
      <c r="DZ341" s="41"/>
      <c r="EA341" s="41"/>
      <c r="EB341" s="41"/>
      <c r="EC341" s="41"/>
    </row>
    <row r="342" spans="1:133" s="75" customFormat="1" ht="31.5" x14ac:dyDescent="0.25">
      <c r="A342" s="86" t="s">
        <v>359</v>
      </c>
      <c r="B342" s="87" t="s">
        <v>364</v>
      </c>
      <c r="C342" s="76" t="s">
        <v>32</v>
      </c>
      <c r="D342" s="85" t="s">
        <v>365</v>
      </c>
      <c r="E342" s="89"/>
      <c r="F342" s="89">
        <v>23378373.68</v>
      </c>
      <c r="G342" s="95">
        <f t="shared" si="8"/>
        <v>41012153.625750162</v>
      </c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  <c r="DY342" s="41"/>
      <c r="DZ342" s="41"/>
      <c r="EA342" s="41"/>
      <c r="EB342" s="41"/>
      <c r="EC342" s="41"/>
    </row>
    <row r="343" spans="1:133" s="75" customFormat="1" ht="31.5" x14ac:dyDescent="0.25">
      <c r="A343" s="86" t="s">
        <v>359</v>
      </c>
      <c r="B343" s="87" t="s">
        <v>364</v>
      </c>
      <c r="C343" s="76" t="s">
        <v>32</v>
      </c>
      <c r="D343" s="85" t="s">
        <v>366</v>
      </c>
      <c r="E343" s="89"/>
      <c r="F343" s="89">
        <v>2880312.78</v>
      </c>
      <c r="G343" s="95">
        <f t="shared" si="8"/>
        <v>38131840.845750161</v>
      </c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</row>
    <row r="344" spans="1:133" s="75" customFormat="1" ht="31.5" x14ac:dyDescent="0.25">
      <c r="A344" s="86" t="s">
        <v>359</v>
      </c>
      <c r="B344" s="87" t="s">
        <v>364</v>
      </c>
      <c r="C344" s="76" t="s">
        <v>32</v>
      </c>
      <c r="D344" s="85" t="s">
        <v>367</v>
      </c>
      <c r="E344" s="89"/>
      <c r="F344" s="89">
        <f>1861741.19+1864367.35</f>
        <v>3726108.54</v>
      </c>
      <c r="G344" s="95">
        <f t="shared" si="8"/>
        <v>34405732.305750161</v>
      </c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  <c r="DY344" s="41"/>
      <c r="DZ344" s="41"/>
      <c r="EA344" s="41"/>
      <c r="EB344" s="41"/>
      <c r="EC344" s="41"/>
    </row>
    <row r="345" spans="1:133" s="75" customFormat="1" ht="31.5" x14ac:dyDescent="0.25">
      <c r="A345" s="86" t="s">
        <v>359</v>
      </c>
      <c r="B345" s="87" t="s">
        <v>364</v>
      </c>
      <c r="C345" s="76" t="s">
        <v>32</v>
      </c>
      <c r="D345" s="85" t="s">
        <v>103</v>
      </c>
      <c r="E345" s="89"/>
      <c r="F345" s="89">
        <v>301385.51</v>
      </c>
      <c r="G345" s="95">
        <f t="shared" si="8"/>
        <v>34104346.795750163</v>
      </c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</row>
    <row r="346" spans="1:133" s="75" customFormat="1" ht="31.5" x14ac:dyDescent="0.25">
      <c r="A346" s="86" t="s">
        <v>359</v>
      </c>
      <c r="B346" s="87" t="s">
        <v>368</v>
      </c>
      <c r="C346" s="76" t="s">
        <v>32</v>
      </c>
      <c r="D346" s="85" t="s">
        <v>363</v>
      </c>
      <c r="E346" s="89"/>
      <c r="F346" s="89">
        <f>9416381.23</f>
        <v>9416381.2300000004</v>
      </c>
      <c r="G346" s="95">
        <f t="shared" si="8"/>
        <v>24687965.565750163</v>
      </c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  <c r="DY346" s="41"/>
      <c r="DZ346" s="41"/>
      <c r="EA346" s="41"/>
      <c r="EB346" s="41"/>
      <c r="EC346" s="41"/>
    </row>
    <row r="347" spans="1:133" s="75" customFormat="1" ht="15.75" x14ac:dyDescent="0.25">
      <c r="A347" s="86" t="s">
        <v>359</v>
      </c>
      <c r="B347" s="87" t="s">
        <v>369</v>
      </c>
      <c r="C347" s="76" t="s">
        <v>32</v>
      </c>
      <c r="D347" s="85" t="s">
        <v>370</v>
      </c>
      <c r="E347" s="89"/>
      <c r="F347" s="89">
        <v>78000</v>
      </c>
      <c r="G347" s="95">
        <f t="shared" si="8"/>
        <v>24609965.565750163</v>
      </c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</row>
    <row r="348" spans="1:133" s="75" customFormat="1" ht="31.5" x14ac:dyDescent="0.25">
      <c r="A348" s="86" t="s">
        <v>359</v>
      </c>
      <c r="B348" s="87" t="s">
        <v>371</v>
      </c>
      <c r="C348" s="76" t="s">
        <v>32</v>
      </c>
      <c r="D348" s="85" t="s">
        <v>372</v>
      </c>
      <c r="E348" s="89"/>
      <c r="F348" s="89">
        <v>1731905.35</v>
      </c>
      <c r="G348" s="94">
        <f t="shared" si="8"/>
        <v>22878060.215750162</v>
      </c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</row>
    <row r="349" spans="1:133" s="75" customFormat="1" ht="15.75" x14ac:dyDescent="0.25">
      <c r="A349" s="86" t="s">
        <v>373</v>
      </c>
      <c r="B349" s="87"/>
      <c r="C349" s="76" t="s">
        <v>13</v>
      </c>
      <c r="D349" s="85" t="s">
        <v>22</v>
      </c>
      <c r="E349" s="89">
        <v>17756</v>
      </c>
      <c r="F349" s="89"/>
      <c r="G349" s="95">
        <f t="shared" si="8"/>
        <v>22895816.215750162</v>
      </c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</row>
    <row r="350" spans="1:133" s="75" customFormat="1" ht="15.75" x14ac:dyDescent="0.25">
      <c r="A350" s="86" t="s">
        <v>373</v>
      </c>
      <c r="B350" s="87"/>
      <c r="C350" s="76" t="s">
        <v>13</v>
      </c>
      <c r="D350" s="85" t="s">
        <v>48</v>
      </c>
      <c r="E350" s="89">
        <v>100</v>
      </c>
      <c r="F350" s="89">
        <f>E350*0.025</f>
        <v>2.5</v>
      </c>
      <c r="G350" s="95">
        <f t="shared" si="8"/>
        <v>22895913.715750162</v>
      </c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  <c r="DY350" s="41"/>
      <c r="DZ350" s="41"/>
      <c r="EA350" s="41"/>
      <c r="EB350" s="41"/>
      <c r="EC350" s="41"/>
    </row>
    <row r="351" spans="1:133" s="75" customFormat="1" ht="15.75" x14ac:dyDescent="0.25">
      <c r="A351" s="86" t="s">
        <v>373</v>
      </c>
      <c r="B351" s="87"/>
      <c r="C351" s="76" t="s">
        <v>13</v>
      </c>
      <c r="D351" s="85" t="s">
        <v>48</v>
      </c>
      <c r="E351" s="89">
        <v>614</v>
      </c>
      <c r="F351" s="89">
        <f>E351*0.025</f>
        <v>15.350000000000001</v>
      </c>
      <c r="G351" s="95">
        <f t="shared" si="8"/>
        <v>22896512.36575016</v>
      </c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</row>
    <row r="352" spans="1:133" s="75" customFormat="1" ht="15.75" x14ac:dyDescent="0.25">
      <c r="A352" s="86" t="s">
        <v>373</v>
      </c>
      <c r="B352" s="87"/>
      <c r="C352" s="76" t="s">
        <v>13</v>
      </c>
      <c r="D352" s="85" t="s">
        <v>48</v>
      </c>
      <c r="E352" s="89">
        <v>1966.8</v>
      </c>
      <c r="F352" s="89">
        <f>E352*0.025</f>
        <v>49.17</v>
      </c>
      <c r="G352" s="95">
        <f t="shared" si="8"/>
        <v>22898429.995750159</v>
      </c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  <c r="DY352" s="41"/>
      <c r="DZ352" s="41"/>
      <c r="EA352" s="41"/>
      <c r="EB352" s="41"/>
      <c r="EC352" s="41"/>
    </row>
    <row r="353" spans="1:133" s="75" customFormat="1" ht="15.75" x14ac:dyDescent="0.25">
      <c r="A353" s="86" t="s">
        <v>373</v>
      </c>
      <c r="B353" s="87"/>
      <c r="C353" s="76" t="s">
        <v>13</v>
      </c>
      <c r="D353" s="85" t="s">
        <v>48</v>
      </c>
      <c r="E353" s="89">
        <v>100</v>
      </c>
      <c r="F353" s="89">
        <f>E353*0.025</f>
        <v>2.5</v>
      </c>
      <c r="G353" s="95">
        <f t="shared" si="8"/>
        <v>22898527.495750159</v>
      </c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  <c r="DY353" s="41"/>
      <c r="DZ353" s="41"/>
      <c r="EA353" s="41"/>
      <c r="EB353" s="41"/>
      <c r="EC353" s="41"/>
    </row>
    <row r="354" spans="1:133" s="75" customFormat="1" ht="15.75" x14ac:dyDescent="0.25">
      <c r="A354" s="86" t="s">
        <v>373</v>
      </c>
      <c r="B354" s="87"/>
      <c r="C354" s="76" t="s">
        <v>73</v>
      </c>
      <c r="D354" s="85" t="s">
        <v>361</v>
      </c>
      <c r="E354" s="89">
        <v>124666.34</v>
      </c>
      <c r="F354" s="89"/>
      <c r="G354" s="95">
        <f t="shared" si="8"/>
        <v>23023193.835750159</v>
      </c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DT354" s="41"/>
      <c r="DU354" s="41"/>
      <c r="DV354" s="41"/>
      <c r="DW354" s="41"/>
      <c r="DX354" s="41"/>
      <c r="DY354" s="41"/>
      <c r="DZ354" s="41"/>
      <c r="EA354" s="41"/>
      <c r="EB354" s="41"/>
      <c r="EC354" s="41"/>
    </row>
    <row r="355" spans="1:133" s="75" customFormat="1" ht="15.75" x14ac:dyDescent="0.25">
      <c r="A355" s="86" t="s">
        <v>373</v>
      </c>
      <c r="B355" s="87"/>
      <c r="C355" s="76" t="s">
        <v>73</v>
      </c>
      <c r="D355" s="85" t="s">
        <v>361</v>
      </c>
      <c r="E355" s="89">
        <v>124198.45</v>
      </c>
      <c r="F355" s="89"/>
      <c r="G355" s="95">
        <f t="shared" si="8"/>
        <v>23147392.285750158</v>
      </c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DT355" s="41"/>
      <c r="DU355" s="41"/>
      <c r="DV355" s="41"/>
      <c r="DW355" s="41"/>
      <c r="DX355" s="41"/>
      <c r="DY355" s="41"/>
      <c r="DZ355" s="41"/>
      <c r="EA355" s="41"/>
      <c r="EB355" s="41"/>
      <c r="EC355" s="41"/>
    </row>
    <row r="356" spans="1:133" s="75" customFormat="1" ht="15.75" x14ac:dyDescent="0.25">
      <c r="A356" s="86" t="s">
        <v>373</v>
      </c>
      <c r="B356" s="87"/>
      <c r="C356" s="76" t="s">
        <v>73</v>
      </c>
      <c r="D356" s="85" t="s">
        <v>25</v>
      </c>
      <c r="E356" s="89">
        <v>2800</v>
      </c>
      <c r="F356" s="89"/>
      <c r="G356" s="94">
        <f t="shared" si="8"/>
        <v>23150192.285750158</v>
      </c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DT356" s="41"/>
      <c r="DU356" s="41"/>
      <c r="DV356" s="41"/>
      <c r="DW356" s="41"/>
      <c r="DX356" s="41"/>
      <c r="DY356" s="41"/>
      <c r="DZ356" s="41"/>
      <c r="EA356" s="41"/>
      <c r="EB356" s="41"/>
      <c r="EC356" s="41"/>
    </row>
    <row r="357" spans="1:133" s="75" customFormat="1" ht="15.75" x14ac:dyDescent="0.25">
      <c r="A357" s="86" t="s">
        <v>362</v>
      </c>
      <c r="B357" s="87"/>
      <c r="C357" s="76" t="s">
        <v>13</v>
      </c>
      <c r="D357" s="85" t="s">
        <v>22</v>
      </c>
      <c r="E357" s="89">
        <v>40695</v>
      </c>
      <c r="F357" s="89"/>
      <c r="G357" s="95">
        <f t="shared" si="8"/>
        <v>23190887.285750158</v>
      </c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  <c r="DY357" s="41"/>
      <c r="DZ357" s="41"/>
      <c r="EA357" s="41"/>
      <c r="EB357" s="41"/>
      <c r="EC357" s="41"/>
    </row>
    <row r="358" spans="1:133" s="75" customFormat="1" ht="15.75" x14ac:dyDescent="0.25">
      <c r="A358" s="86" t="s">
        <v>362</v>
      </c>
      <c r="B358" s="87"/>
      <c r="C358" s="76" t="s">
        <v>13</v>
      </c>
      <c r="D358" s="85" t="s">
        <v>48</v>
      </c>
      <c r="E358" s="89">
        <v>12000</v>
      </c>
      <c r="F358" s="89">
        <f>E358*0.025</f>
        <v>300</v>
      </c>
      <c r="G358" s="95">
        <f t="shared" si="8"/>
        <v>23202587.285750158</v>
      </c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DT358" s="41"/>
      <c r="DU358" s="41"/>
      <c r="DV358" s="41"/>
      <c r="DW358" s="41"/>
      <c r="DX358" s="41"/>
      <c r="DY358" s="41"/>
      <c r="DZ358" s="41"/>
      <c r="EA358" s="41"/>
      <c r="EB358" s="41"/>
      <c r="EC358" s="41"/>
    </row>
    <row r="359" spans="1:133" s="75" customFormat="1" ht="15.75" x14ac:dyDescent="0.25">
      <c r="A359" s="86" t="s">
        <v>362</v>
      </c>
      <c r="B359" s="87"/>
      <c r="C359" s="76" t="s">
        <v>13</v>
      </c>
      <c r="D359" s="85" t="s">
        <v>48</v>
      </c>
      <c r="E359" s="89">
        <v>121</v>
      </c>
      <c r="F359" s="89">
        <f t="shared" ref="F359:F366" si="9">E359*0.025</f>
        <v>3.0250000000000004</v>
      </c>
      <c r="G359" s="95">
        <f t="shared" si="8"/>
        <v>23202705.26075016</v>
      </c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DT359" s="41"/>
      <c r="DU359" s="41"/>
      <c r="DV359" s="41"/>
      <c r="DW359" s="41"/>
      <c r="DX359" s="41"/>
      <c r="DY359" s="41"/>
      <c r="DZ359" s="41"/>
      <c r="EA359" s="41"/>
      <c r="EB359" s="41"/>
      <c r="EC359" s="41"/>
    </row>
    <row r="360" spans="1:133" s="75" customFormat="1" ht="15.75" x14ac:dyDescent="0.25">
      <c r="A360" s="86" t="s">
        <v>362</v>
      </c>
      <c r="B360" s="87"/>
      <c r="C360" s="76" t="s">
        <v>13</v>
      </c>
      <c r="D360" s="85" t="s">
        <v>48</v>
      </c>
      <c r="E360" s="89">
        <v>580</v>
      </c>
      <c r="F360" s="89">
        <f t="shared" si="9"/>
        <v>14.5</v>
      </c>
      <c r="G360" s="95">
        <f t="shared" si="8"/>
        <v>23203270.76075016</v>
      </c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DT360" s="41"/>
      <c r="DU360" s="41"/>
      <c r="DV360" s="41"/>
      <c r="DW360" s="41"/>
      <c r="DX360" s="41"/>
      <c r="DY360" s="41"/>
      <c r="DZ360" s="41"/>
      <c r="EA360" s="41"/>
      <c r="EB360" s="41"/>
      <c r="EC360" s="41"/>
    </row>
    <row r="361" spans="1:133" s="75" customFormat="1" ht="15.75" x14ac:dyDescent="0.25">
      <c r="A361" s="86" t="s">
        <v>362</v>
      </c>
      <c r="B361" s="87"/>
      <c r="C361" s="76" t="s">
        <v>13</v>
      </c>
      <c r="D361" s="85" t="s">
        <v>48</v>
      </c>
      <c r="E361" s="89">
        <v>602</v>
      </c>
      <c r="F361" s="89">
        <f t="shared" si="9"/>
        <v>15.05</v>
      </c>
      <c r="G361" s="95">
        <f t="shared" si="8"/>
        <v>23203857.710750159</v>
      </c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/>
      <c r="DX361" s="41"/>
      <c r="DY361" s="41"/>
      <c r="DZ361" s="41"/>
      <c r="EA361" s="41"/>
      <c r="EB361" s="41"/>
      <c r="EC361" s="41"/>
    </row>
    <row r="362" spans="1:133" s="75" customFormat="1" ht="15.75" x14ac:dyDescent="0.25">
      <c r="A362" s="86" t="s">
        <v>362</v>
      </c>
      <c r="B362" s="24"/>
      <c r="C362" s="76" t="s">
        <v>13</v>
      </c>
      <c r="D362" s="85" t="s">
        <v>48</v>
      </c>
      <c r="E362" s="24">
        <v>11980.98</v>
      </c>
      <c r="F362" s="89">
        <f t="shared" si="9"/>
        <v>299.52449999999999</v>
      </c>
      <c r="G362" s="95">
        <f t="shared" si="8"/>
        <v>23215539.166250158</v>
      </c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DT362" s="41"/>
      <c r="DU362" s="41"/>
      <c r="DV362" s="41"/>
      <c r="DW362" s="41"/>
      <c r="DX362" s="41"/>
      <c r="DY362" s="41"/>
      <c r="DZ362" s="41"/>
      <c r="EA362" s="41"/>
      <c r="EB362" s="41"/>
      <c r="EC362" s="41"/>
    </row>
    <row r="363" spans="1:133" s="75" customFormat="1" ht="15.75" x14ac:dyDescent="0.25">
      <c r="A363" s="86" t="s">
        <v>362</v>
      </c>
      <c r="B363" s="87"/>
      <c r="C363" s="76" t="s">
        <v>13</v>
      </c>
      <c r="D363" s="85" t="s">
        <v>48</v>
      </c>
      <c r="E363" s="89">
        <v>3000</v>
      </c>
      <c r="F363" s="89">
        <f t="shared" si="9"/>
        <v>75</v>
      </c>
      <c r="G363" s="94">
        <f t="shared" si="8"/>
        <v>23218464.166250158</v>
      </c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  <c r="DY363" s="41"/>
      <c r="DZ363" s="41"/>
      <c r="EA363" s="41"/>
      <c r="EB363" s="41"/>
      <c r="EC363" s="41"/>
    </row>
    <row r="364" spans="1:133" s="75" customFormat="1" ht="15.75" x14ac:dyDescent="0.25">
      <c r="A364" s="86" t="s">
        <v>374</v>
      </c>
      <c r="B364" s="87"/>
      <c r="C364" s="76" t="s">
        <v>13</v>
      </c>
      <c r="D364" s="85" t="s">
        <v>22</v>
      </c>
      <c r="E364" s="89">
        <v>52686</v>
      </c>
      <c r="F364" s="89"/>
      <c r="G364" s="95">
        <f t="shared" si="8"/>
        <v>23271150.166250158</v>
      </c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DT364" s="41"/>
      <c r="DU364" s="41"/>
      <c r="DV364" s="41"/>
      <c r="DW364" s="41"/>
      <c r="DX364" s="41"/>
      <c r="DY364" s="41"/>
      <c r="DZ364" s="41"/>
      <c r="EA364" s="41"/>
      <c r="EB364" s="41"/>
      <c r="EC364" s="41"/>
    </row>
    <row r="365" spans="1:133" s="75" customFormat="1" ht="25.5" customHeight="1" x14ac:dyDescent="0.25">
      <c r="A365" s="86" t="s">
        <v>374</v>
      </c>
      <c r="B365" s="87"/>
      <c r="C365" s="76" t="s">
        <v>13</v>
      </c>
      <c r="D365" s="85" t="s">
        <v>48</v>
      </c>
      <c r="E365" s="89">
        <v>433.56</v>
      </c>
      <c r="F365" s="89">
        <f t="shared" si="9"/>
        <v>10.839</v>
      </c>
      <c r="G365" s="95">
        <f t="shared" si="8"/>
        <v>23271572.887250155</v>
      </c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DT365" s="41"/>
      <c r="DU365" s="41"/>
      <c r="DV365" s="41"/>
      <c r="DW365" s="41"/>
      <c r="DX365" s="41"/>
      <c r="DY365" s="41"/>
      <c r="DZ365" s="41"/>
      <c r="EA365" s="41"/>
      <c r="EB365" s="41"/>
      <c r="EC365" s="41"/>
    </row>
    <row r="366" spans="1:133" s="75" customFormat="1" ht="15" customHeight="1" x14ac:dyDescent="0.25">
      <c r="A366" s="86" t="s">
        <v>374</v>
      </c>
      <c r="B366" s="87"/>
      <c r="C366" s="76" t="s">
        <v>13</v>
      </c>
      <c r="D366" s="85" t="s">
        <v>48</v>
      </c>
      <c r="E366" s="89">
        <v>500</v>
      </c>
      <c r="F366" s="89">
        <f t="shared" si="9"/>
        <v>12.5</v>
      </c>
      <c r="G366" s="95">
        <f t="shared" si="8"/>
        <v>23272060.387250155</v>
      </c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DT366" s="41"/>
      <c r="DU366" s="41"/>
      <c r="DV366" s="41"/>
      <c r="DW366" s="41"/>
      <c r="DX366" s="41"/>
      <c r="DY366" s="41"/>
      <c r="DZ366" s="41"/>
      <c r="EA366" s="41"/>
      <c r="EB366" s="41"/>
      <c r="EC366" s="41"/>
    </row>
    <row r="367" spans="1:133" s="75" customFormat="1" ht="31.5" x14ac:dyDescent="0.25">
      <c r="A367" s="86" t="s">
        <v>374</v>
      </c>
      <c r="B367" s="87" t="s">
        <v>375</v>
      </c>
      <c r="C367" s="77" t="s">
        <v>262</v>
      </c>
      <c r="D367" s="85" t="s">
        <v>376</v>
      </c>
      <c r="E367" s="89"/>
      <c r="F367" s="89">
        <v>266102.7</v>
      </c>
      <c r="G367" s="95">
        <f>G366+E367-F367</f>
        <v>23005957.687250156</v>
      </c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  <c r="EA367" s="41"/>
      <c r="EB367" s="41"/>
      <c r="EC367" s="41"/>
    </row>
    <row r="368" spans="1:133" s="75" customFormat="1" ht="31.5" x14ac:dyDescent="0.25">
      <c r="A368" s="86" t="s">
        <v>374</v>
      </c>
      <c r="B368" s="87" t="s">
        <v>375</v>
      </c>
      <c r="C368" s="77" t="s">
        <v>262</v>
      </c>
      <c r="D368" s="85" t="s">
        <v>138</v>
      </c>
      <c r="E368" s="89"/>
      <c r="F368" s="89">
        <v>14005.41</v>
      </c>
      <c r="G368" s="94">
        <f>G367+E368-F368</f>
        <v>22991952.277250156</v>
      </c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  <c r="DY368" s="41"/>
      <c r="DZ368" s="41"/>
      <c r="EA368" s="41"/>
      <c r="EB368" s="41"/>
      <c r="EC368" s="41"/>
    </row>
    <row r="369" spans="1:133" s="75" customFormat="1" thickBot="1" x14ac:dyDescent="0.3">
      <c r="A369" s="45"/>
      <c r="B369" s="41"/>
      <c r="C369" s="41"/>
      <c r="D369" s="41"/>
      <c r="E369" s="118"/>
      <c r="F369" s="118"/>
      <c r="G369" s="9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  <c r="DS369" s="41"/>
      <c r="DT369" s="41"/>
      <c r="DU369" s="41"/>
      <c r="DV369" s="41"/>
      <c r="DW369" s="41"/>
      <c r="DX369" s="41"/>
      <c r="DY369" s="41"/>
      <c r="DZ369" s="41"/>
      <c r="EA369" s="41"/>
      <c r="EB369" s="41"/>
      <c r="EC369" s="41"/>
    </row>
    <row r="370" spans="1:133" s="75" customFormat="1" thickTop="1" x14ac:dyDescent="0.25">
      <c r="A370" s="45"/>
      <c r="B370" s="41"/>
      <c r="C370" s="41"/>
      <c r="D370" s="41"/>
      <c r="E370" s="88"/>
      <c r="F370" s="88"/>
      <c r="G370" s="9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  <c r="DS370" s="41"/>
      <c r="DT370" s="41"/>
      <c r="DU370" s="41"/>
      <c r="DV370" s="41"/>
      <c r="DW370" s="41"/>
      <c r="DX370" s="41"/>
      <c r="DY370" s="41"/>
      <c r="DZ370" s="41"/>
      <c r="EA370" s="41"/>
      <c r="EB370" s="41"/>
      <c r="EC370" s="41"/>
    </row>
    <row r="371" spans="1:133" s="75" customFormat="1" ht="15.75" x14ac:dyDescent="0.25">
      <c r="A371" s="45"/>
      <c r="B371" s="41"/>
      <c r="C371" s="41"/>
      <c r="D371" s="41"/>
      <c r="E371" s="88"/>
      <c r="F371" s="88"/>
      <c r="G371" s="9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  <c r="DS371" s="41"/>
      <c r="DT371" s="41"/>
      <c r="DU371" s="41"/>
      <c r="DV371" s="41"/>
      <c r="DW371" s="41"/>
      <c r="DX371" s="41"/>
      <c r="DY371" s="41"/>
      <c r="DZ371" s="41"/>
      <c r="EA371" s="41"/>
      <c r="EB371" s="41"/>
      <c r="EC371" s="41"/>
    </row>
    <row r="372" spans="1:133" s="75" customFormat="1" ht="15.75" x14ac:dyDescent="0.25">
      <c r="A372" s="45"/>
      <c r="B372" s="41"/>
      <c r="C372" s="41"/>
      <c r="D372" s="29"/>
      <c r="E372" s="88"/>
      <c r="F372" s="88"/>
      <c r="G372" s="9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  <c r="DS372" s="41"/>
      <c r="DT372" s="41"/>
      <c r="DU372" s="41"/>
      <c r="DV372" s="41"/>
      <c r="DW372" s="41"/>
      <c r="DX372" s="41"/>
      <c r="DY372" s="41"/>
      <c r="DZ372" s="41"/>
      <c r="EA372" s="41"/>
      <c r="EB372" s="41"/>
      <c r="EC372" s="41"/>
    </row>
    <row r="373" spans="1:133" s="75" customFormat="1" ht="15.75" x14ac:dyDescent="0.25">
      <c r="A373" s="45"/>
      <c r="B373" s="41"/>
      <c r="C373" s="41"/>
      <c r="D373" s="29"/>
      <c r="E373" s="88"/>
      <c r="F373" s="88"/>
      <c r="G373" s="9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  <c r="BX373" s="41"/>
      <c r="BY373" s="41"/>
      <c r="BZ373" s="41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41"/>
      <c r="DC373" s="41"/>
      <c r="DD373" s="41"/>
      <c r="DE373" s="41"/>
      <c r="DF373" s="41"/>
      <c r="DG373" s="41"/>
      <c r="DH373" s="41"/>
      <c r="DI373" s="41"/>
      <c r="DJ373" s="41"/>
      <c r="DK373" s="41"/>
      <c r="DL373" s="41"/>
      <c r="DM373" s="41"/>
      <c r="DN373" s="41"/>
      <c r="DO373" s="41"/>
      <c r="DP373" s="41"/>
      <c r="DQ373" s="41"/>
      <c r="DR373" s="41"/>
      <c r="DS373" s="41"/>
      <c r="DT373" s="41"/>
      <c r="DU373" s="41"/>
      <c r="DV373" s="41"/>
      <c r="DW373" s="41"/>
      <c r="DX373" s="41"/>
      <c r="DY373" s="41"/>
      <c r="DZ373" s="41"/>
      <c r="EA373" s="41"/>
      <c r="EB373" s="41"/>
      <c r="EC373" s="41"/>
    </row>
    <row r="374" spans="1:133" s="75" customFormat="1" ht="15.75" x14ac:dyDescent="0.25">
      <c r="A374" s="45"/>
      <c r="B374" s="41"/>
      <c r="C374" s="41"/>
      <c r="D374" s="29"/>
      <c r="E374" s="88"/>
      <c r="F374" s="88"/>
      <c r="G374" s="9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41"/>
      <c r="DC374" s="41"/>
      <c r="DD374" s="41"/>
      <c r="DE374" s="41"/>
      <c r="DF374" s="41"/>
      <c r="DG374" s="41"/>
      <c r="DH374" s="41"/>
      <c r="DI374" s="41"/>
      <c r="DJ374" s="41"/>
      <c r="DK374" s="41"/>
      <c r="DL374" s="41"/>
      <c r="DM374" s="41"/>
      <c r="DN374" s="41"/>
      <c r="DO374" s="41"/>
      <c r="DP374" s="41"/>
      <c r="DQ374" s="41"/>
      <c r="DR374" s="41"/>
      <c r="DS374" s="41"/>
      <c r="DT374" s="41"/>
      <c r="DU374" s="41"/>
      <c r="DV374" s="41"/>
      <c r="DW374" s="41"/>
      <c r="DX374" s="41"/>
      <c r="DY374" s="41"/>
      <c r="DZ374" s="41"/>
      <c r="EA374" s="41"/>
      <c r="EB374" s="41"/>
      <c r="EC374" s="41"/>
    </row>
    <row r="375" spans="1:133" s="75" customFormat="1" ht="15.75" x14ac:dyDescent="0.25">
      <c r="A375" s="45"/>
      <c r="B375" s="41"/>
      <c r="C375" s="41"/>
      <c r="D375" s="29"/>
      <c r="E375" s="88"/>
      <c r="F375" s="88"/>
      <c r="G375" s="9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/>
      <c r="BX375" s="41"/>
      <c r="BY375" s="41"/>
      <c r="BZ375" s="41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  <c r="DH375" s="41"/>
      <c r="DI375" s="41"/>
      <c r="DJ375" s="41"/>
      <c r="DK375" s="41"/>
      <c r="DL375" s="41"/>
      <c r="DM375" s="41"/>
      <c r="DN375" s="41"/>
      <c r="DO375" s="41"/>
      <c r="DP375" s="41"/>
      <c r="DQ375" s="41"/>
      <c r="DR375" s="41"/>
      <c r="DS375" s="41"/>
      <c r="DT375" s="41"/>
      <c r="DU375" s="41"/>
      <c r="DV375" s="41"/>
      <c r="DW375" s="41"/>
      <c r="DX375" s="41"/>
      <c r="DY375" s="41"/>
      <c r="DZ375" s="41"/>
      <c r="EA375" s="41"/>
      <c r="EB375" s="41"/>
      <c r="EC375" s="41"/>
    </row>
    <row r="376" spans="1:133" s="75" customFormat="1" ht="15.75" x14ac:dyDescent="0.25">
      <c r="A376" s="45"/>
      <c r="B376" s="41"/>
      <c r="C376" s="41"/>
      <c r="D376" s="29"/>
      <c r="E376" s="88"/>
      <c r="F376" s="88"/>
      <c r="G376" s="9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  <c r="BP376" s="41"/>
      <c r="BQ376" s="41"/>
      <c r="BR376" s="41"/>
      <c r="BS376" s="41"/>
      <c r="BT376" s="41"/>
      <c r="BU376" s="41"/>
      <c r="BV376" s="41"/>
      <c r="BW376" s="41"/>
      <c r="BX376" s="41"/>
      <c r="BY376" s="41"/>
      <c r="BZ376" s="41"/>
      <c r="CA376" s="41"/>
      <c r="CB376" s="41"/>
      <c r="CC376" s="41"/>
      <c r="CD376" s="41"/>
      <c r="CE376" s="41"/>
      <c r="CF376" s="41"/>
      <c r="CG376" s="41"/>
      <c r="CH376" s="41"/>
      <c r="CI376" s="41"/>
      <c r="CJ376" s="41"/>
      <c r="CK376" s="41"/>
      <c r="CL376" s="41"/>
      <c r="CM376" s="41"/>
      <c r="CN376" s="41"/>
      <c r="CO376" s="41"/>
      <c r="CP376" s="41"/>
      <c r="CQ376" s="41"/>
      <c r="CR376" s="41"/>
      <c r="CS376" s="41"/>
      <c r="CT376" s="41"/>
      <c r="CU376" s="41"/>
      <c r="CV376" s="41"/>
      <c r="CW376" s="41"/>
      <c r="CX376" s="41"/>
      <c r="CY376" s="41"/>
      <c r="CZ376" s="41"/>
      <c r="DA376" s="41"/>
      <c r="DB376" s="41"/>
      <c r="DC376" s="41"/>
      <c r="DD376" s="41"/>
      <c r="DE376" s="41"/>
      <c r="DF376" s="41"/>
      <c r="DG376" s="41"/>
      <c r="DH376" s="41"/>
      <c r="DI376" s="41"/>
      <c r="DJ376" s="41"/>
      <c r="DK376" s="41"/>
      <c r="DL376" s="41"/>
      <c r="DM376" s="41"/>
      <c r="DN376" s="41"/>
      <c r="DO376" s="41"/>
      <c r="DP376" s="41"/>
      <c r="DQ376" s="41"/>
      <c r="DR376" s="41"/>
      <c r="DS376" s="41"/>
      <c r="DT376" s="41"/>
      <c r="DU376" s="41"/>
      <c r="DV376" s="41"/>
      <c r="DW376" s="41"/>
      <c r="DX376" s="41"/>
      <c r="DY376" s="41"/>
      <c r="DZ376" s="41"/>
      <c r="EA376" s="41"/>
      <c r="EB376" s="41"/>
      <c r="EC376" s="41"/>
    </row>
    <row r="377" spans="1:133" s="75" customFormat="1" ht="15.75" x14ac:dyDescent="0.25">
      <c r="A377" s="45"/>
      <c r="B377" s="41"/>
      <c r="C377" s="41"/>
      <c r="D377" s="29"/>
      <c r="E377" s="88"/>
      <c r="F377" s="88"/>
      <c r="G377" s="9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  <c r="BP377" s="41"/>
      <c r="BQ377" s="41"/>
      <c r="BR377" s="41"/>
      <c r="BS377" s="41"/>
      <c r="BT377" s="41"/>
      <c r="BU377" s="41"/>
      <c r="BV377" s="41"/>
      <c r="BW377" s="41"/>
      <c r="BX377" s="41"/>
      <c r="BY377" s="41"/>
      <c r="BZ377" s="41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  <c r="DS377" s="41"/>
      <c r="DT377" s="41"/>
      <c r="DU377" s="41"/>
      <c r="DV377" s="41"/>
      <c r="DW377" s="41"/>
      <c r="DX377" s="41"/>
      <c r="DY377" s="41"/>
      <c r="DZ377" s="41"/>
      <c r="EA377" s="41"/>
      <c r="EB377" s="41"/>
      <c r="EC377" s="41"/>
    </row>
    <row r="378" spans="1:133" s="75" customFormat="1" ht="15.75" x14ac:dyDescent="0.25">
      <c r="A378" s="45"/>
      <c r="B378" s="41"/>
      <c r="C378" s="41"/>
      <c r="D378" s="29"/>
      <c r="E378" s="88"/>
      <c r="F378" s="88"/>
      <c r="G378" s="9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  <c r="BP378" s="41"/>
      <c r="BQ378" s="41"/>
      <c r="BR378" s="41"/>
      <c r="BS378" s="41"/>
      <c r="BT378" s="41"/>
      <c r="BU378" s="41"/>
      <c r="BV378" s="41"/>
      <c r="BW378" s="41"/>
      <c r="BX378" s="41"/>
      <c r="BY378" s="41"/>
      <c r="BZ378" s="41"/>
      <c r="CA378" s="41"/>
      <c r="CB378" s="41"/>
      <c r="CC378" s="41"/>
      <c r="CD378" s="41"/>
      <c r="CE378" s="41"/>
      <c r="CF378" s="41"/>
      <c r="CG378" s="41"/>
      <c r="CH378" s="41"/>
      <c r="CI378" s="41"/>
      <c r="CJ378" s="41"/>
      <c r="CK378" s="41"/>
      <c r="CL378" s="41"/>
      <c r="CM378" s="41"/>
      <c r="CN378" s="41"/>
      <c r="CO378" s="41"/>
      <c r="CP378" s="41"/>
      <c r="CQ378" s="41"/>
      <c r="CR378" s="41"/>
      <c r="CS378" s="41"/>
      <c r="CT378" s="41"/>
      <c r="CU378" s="41"/>
      <c r="CV378" s="41"/>
      <c r="CW378" s="41"/>
      <c r="CX378" s="41"/>
      <c r="CY378" s="41"/>
      <c r="CZ378" s="41"/>
      <c r="DA378" s="41"/>
      <c r="DB378" s="41"/>
      <c r="DC378" s="41"/>
      <c r="DD378" s="41"/>
      <c r="DE378" s="41"/>
      <c r="DF378" s="41"/>
      <c r="DG378" s="41"/>
      <c r="DH378" s="41"/>
      <c r="DI378" s="41"/>
      <c r="DJ378" s="41"/>
      <c r="DK378" s="41"/>
      <c r="DL378" s="41"/>
      <c r="DM378" s="41"/>
      <c r="DN378" s="41"/>
      <c r="DO378" s="41"/>
      <c r="DP378" s="41"/>
      <c r="DQ378" s="41"/>
      <c r="DR378" s="41"/>
      <c r="DS378" s="41"/>
      <c r="DT378" s="41"/>
      <c r="DU378" s="41"/>
      <c r="DV378" s="41"/>
      <c r="DW378" s="41"/>
      <c r="DX378" s="41"/>
      <c r="DY378" s="41"/>
      <c r="DZ378" s="41"/>
      <c r="EA378" s="41"/>
      <c r="EB378" s="41"/>
      <c r="EC378" s="41"/>
    </row>
    <row r="379" spans="1:133" s="75" customFormat="1" ht="15.75" x14ac:dyDescent="0.25">
      <c r="A379" s="45"/>
      <c r="B379" s="41"/>
      <c r="C379" s="41"/>
      <c r="D379" s="29"/>
      <c r="E379" s="88"/>
      <c r="F379" s="88"/>
      <c r="G379" s="9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1"/>
      <c r="DM379" s="41"/>
      <c r="DN379" s="41"/>
      <c r="DO379" s="41"/>
      <c r="DP379" s="41"/>
      <c r="DQ379" s="41"/>
      <c r="DR379" s="41"/>
      <c r="DS379" s="41"/>
      <c r="DT379" s="41"/>
      <c r="DU379" s="41"/>
      <c r="DV379" s="41"/>
      <c r="DW379" s="41"/>
      <c r="DX379" s="41"/>
      <c r="DY379" s="41"/>
      <c r="DZ379" s="41"/>
      <c r="EA379" s="41"/>
      <c r="EB379" s="41"/>
      <c r="EC379" s="41"/>
    </row>
    <row r="380" spans="1:133" s="75" customFormat="1" ht="15.75" x14ac:dyDescent="0.25">
      <c r="A380" s="45"/>
      <c r="B380" s="41"/>
      <c r="C380" s="41"/>
      <c r="D380" s="29"/>
      <c r="E380" s="88"/>
      <c r="F380" s="88"/>
      <c r="G380" s="9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 s="41"/>
      <c r="BZ380" s="41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41"/>
      <c r="DC380" s="41"/>
      <c r="DD380" s="41"/>
      <c r="DE380" s="41"/>
      <c r="DF380" s="41"/>
      <c r="DG380" s="41"/>
      <c r="DH380" s="41"/>
      <c r="DI380" s="41"/>
      <c r="DJ380" s="41"/>
      <c r="DK380" s="41"/>
      <c r="DL380" s="41"/>
      <c r="DM380" s="41"/>
      <c r="DN380" s="41"/>
      <c r="DO380" s="41"/>
      <c r="DP380" s="41"/>
      <c r="DQ380" s="41"/>
      <c r="DR380" s="41"/>
      <c r="DS380" s="41"/>
      <c r="DT380" s="41"/>
      <c r="DU380" s="41"/>
      <c r="DV380" s="41"/>
      <c r="DW380" s="41"/>
      <c r="DX380" s="41"/>
      <c r="DY380" s="41"/>
      <c r="DZ380" s="41"/>
      <c r="EA380" s="41"/>
      <c r="EB380" s="41"/>
      <c r="EC380" s="41"/>
    </row>
    <row r="381" spans="1:133" s="75" customFormat="1" ht="15.75" x14ac:dyDescent="0.25">
      <c r="A381" s="45"/>
      <c r="B381" s="41"/>
      <c r="C381" s="41"/>
      <c r="D381" s="52"/>
      <c r="E381" s="88"/>
      <c r="F381" s="88"/>
      <c r="G381" s="9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 s="41"/>
      <c r="BZ381" s="41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  <c r="DH381" s="41"/>
      <c r="DI381" s="41"/>
      <c r="DJ381" s="41"/>
      <c r="DK381" s="41"/>
      <c r="DL381" s="41"/>
      <c r="DM381" s="41"/>
      <c r="DN381" s="41"/>
      <c r="DO381" s="41"/>
      <c r="DP381" s="41"/>
      <c r="DQ381" s="41"/>
      <c r="DR381" s="41"/>
      <c r="DS381" s="41"/>
      <c r="DT381" s="41"/>
      <c r="DU381" s="41"/>
      <c r="DV381" s="41"/>
      <c r="DW381" s="41"/>
      <c r="DX381" s="41"/>
      <c r="DY381" s="41"/>
      <c r="DZ381" s="41"/>
      <c r="EA381" s="41"/>
      <c r="EB381" s="41"/>
      <c r="EC381" s="41"/>
    </row>
    <row r="382" spans="1:133" s="75" customFormat="1" ht="15.75" x14ac:dyDescent="0.25">
      <c r="A382" s="45"/>
      <c r="B382" s="41"/>
      <c r="C382" s="41"/>
      <c r="D382" s="41"/>
      <c r="E382" s="88"/>
      <c r="F382" s="88"/>
      <c r="G382" s="9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  <c r="DS382" s="41"/>
      <c r="DT382" s="41"/>
      <c r="DU382" s="41"/>
      <c r="DV382" s="41"/>
      <c r="DW382" s="41"/>
      <c r="DX382" s="41"/>
      <c r="DY382" s="41"/>
      <c r="DZ382" s="41"/>
      <c r="EA382" s="41"/>
      <c r="EB382" s="41"/>
      <c r="EC382" s="41"/>
    </row>
    <row r="383" spans="1:133" ht="15.75" x14ac:dyDescent="0.25">
      <c r="A383" s="41"/>
      <c r="B383" s="27" t="s">
        <v>70</v>
      </c>
      <c r="C383" s="41"/>
      <c r="D383" s="28" t="s">
        <v>64</v>
      </c>
      <c r="E383" s="34"/>
      <c r="F383" s="34" t="s">
        <v>102</v>
      </c>
      <c r="G383" s="64"/>
      <c r="H383" s="75"/>
    </row>
    <row r="384" spans="1:133" ht="15.75" x14ac:dyDescent="0.25">
      <c r="B384" s="67" t="s">
        <v>66</v>
      </c>
      <c r="C384" s="65"/>
      <c r="D384" s="68" t="s">
        <v>61</v>
      </c>
      <c r="E384" s="63" t="s">
        <v>45</v>
      </c>
      <c r="F384" s="63"/>
      <c r="G384" s="66"/>
      <c r="H384" s="75"/>
    </row>
    <row r="385" spans="2:10" ht="15.75" x14ac:dyDescent="0.25">
      <c r="B385" s="65" t="s">
        <v>67</v>
      </c>
      <c r="C385" s="65"/>
      <c r="D385" s="69" t="s">
        <v>68</v>
      </c>
      <c r="E385" s="65"/>
      <c r="F385" s="64" t="s">
        <v>46</v>
      </c>
      <c r="G385" s="75"/>
      <c r="H385" s="75"/>
    </row>
    <row r="386" spans="2:10" s="75" customFormat="1" ht="15.75" x14ac:dyDescent="0.25">
      <c r="D386" s="41"/>
      <c r="E386" s="88"/>
      <c r="F386" s="88"/>
      <c r="G386" s="78"/>
    </row>
    <row r="387" spans="2:10" s="75" customFormat="1" ht="15.75" x14ac:dyDescent="0.25">
      <c r="D387" s="41"/>
      <c r="E387" s="41"/>
      <c r="F387" s="41"/>
      <c r="J387" s="21"/>
    </row>
    <row r="388" spans="2:10" s="75" customFormat="1" ht="15.75" x14ac:dyDescent="0.25">
      <c r="D388" s="41"/>
      <c r="E388" s="41"/>
      <c r="F388" s="41"/>
    </row>
    <row r="389" spans="2:10" s="75" customFormat="1" ht="15.75" x14ac:dyDescent="0.25">
      <c r="E389" s="21"/>
      <c r="G389" s="78"/>
      <c r="J389" s="21"/>
    </row>
    <row r="390" spans="2:10" s="75" customFormat="1" ht="15.75" x14ac:dyDescent="0.25">
      <c r="E390" s="78"/>
      <c r="F390" s="21"/>
    </row>
    <row r="391" spans="2:10" s="75" customFormat="1" ht="15.75" x14ac:dyDescent="0.25">
      <c r="E391" s="21"/>
      <c r="F391" s="21"/>
      <c r="J391" s="21"/>
    </row>
    <row r="392" spans="2:10" s="75" customFormat="1" ht="15.75" x14ac:dyDescent="0.25">
      <c r="E392" s="70"/>
      <c r="F392" s="70"/>
    </row>
    <row r="393" spans="2:10" s="75" customFormat="1" ht="15.75" x14ac:dyDescent="0.25">
      <c r="E393" s="21"/>
    </row>
    <row r="394" spans="2:10" s="75" customFormat="1" ht="15.75" x14ac:dyDescent="0.25"/>
    <row r="395" spans="2:10" s="75" customFormat="1" ht="15.75" x14ac:dyDescent="0.25"/>
    <row r="396" spans="2:10" s="75" customFormat="1" ht="15.75" x14ac:dyDescent="0.25">
      <c r="C396" s="30"/>
    </row>
    <row r="397" spans="2:10" s="75" customFormat="1" ht="15.75" x14ac:dyDescent="0.25">
      <c r="E397" s="21"/>
    </row>
    <row r="398" spans="2:10" s="75" customFormat="1" ht="15.75" x14ac:dyDescent="0.25"/>
    <row r="399" spans="2:10" s="75" customFormat="1" ht="15.75" x14ac:dyDescent="0.25"/>
    <row r="400" spans="2:10" s="75" customFormat="1" ht="15.75" x14ac:dyDescent="0.25"/>
    <row r="401" s="75" customFormat="1" ht="15.75" x14ac:dyDescent="0.25"/>
    <row r="402" s="75" customFormat="1" ht="15.75" x14ac:dyDescent="0.25"/>
    <row r="403" s="75" customFormat="1" ht="15.75" x14ac:dyDescent="0.25"/>
    <row r="404" s="75" customFormat="1" ht="15.75" x14ac:dyDescent="0.25"/>
    <row r="405" s="75" customFormat="1" ht="15.75" x14ac:dyDescent="0.25"/>
    <row r="406" s="75" customFormat="1" ht="15.75" x14ac:dyDescent="0.25"/>
    <row r="407" s="75" customFormat="1" ht="15.75" x14ac:dyDescent="0.25"/>
    <row r="408" s="75" customFormat="1" ht="15.75" x14ac:dyDescent="0.25"/>
    <row r="409" s="75" customFormat="1" ht="15.75" x14ac:dyDescent="0.25"/>
    <row r="410" s="75" customFormat="1" ht="15.75" x14ac:dyDescent="0.25"/>
    <row r="411" s="75" customFormat="1" ht="15.75" x14ac:dyDescent="0.25"/>
    <row r="412" s="75" customFormat="1" ht="15.75" x14ac:dyDescent="0.25"/>
    <row r="413" s="75" customFormat="1" ht="15.75" x14ac:dyDescent="0.25"/>
    <row r="414" s="75" customFormat="1" ht="15.75" x14ac:dyDescent="0.25"/>
    <row r="415" s="75" customFormat="1" ht="15.75" x14ac:dyDescent="0.25"/>
    <row r="416" s="75" customFormat="1" ht="15.75" x14ac:dyDescent="0.25"/>
    <row r="417" s="75" customFormat="1" ht="15.75" x14ac:dyDescent="0.25"/>
    <row r="418" s="75" customFormat="1" ht="15.75" x14ac:dyDescent="0.25"/>
    <row r="419" s="75" customFormat="1" ht="15.75" x14ac:dyDescent="0.25"/>
    <row r="420" s="75" customFormat="1" ht="15.75" x14ac:dyDescent="0.25"/>
    <row r="421" s="75" customFormat="1" ht="15.75" x14ac:dyDescent="0.25"/>
    <row r="422" s="75" customFormat="1" ht="15.75" x14ac:dyDescent="0.25"/>
    <row r="423" s="75" customFormat="1" ht="15.75" x14ac:dyDescent="0.25"/>
    <row r="424" s="75" customFormat="1" ht="15.75" x14ac:dyDescent="0.25"/>
    <row r="425" s="75" customFormat="1" ht="15.75" x14ac:dyDescent="0.25"/>
    <row r="426" s="75" customFormat="1" ht="15.75" x14ac:dyDescent="0.25"/>
    <row r="427" s="75" customFormat="1" ht="15.75" x14ac:dyDescent="0.25"/>
    <row r="428" s="75" customFormat="1" ht="15.75" x14ac:dyDescent="0.25"/>
    <row r="429" s="75" customFormat="1" ht="15.75" x14ac:dyDescent="0.25"/>
    <row r="430" s="75" customFormat="1" ht="15.75" x14ac:dyDescent="0.25"/>
    <row r="431" s="75" customFormat="1" ht="15.75" x14ac:dyDescent="0.25"/>
    <row r="432" s="75" customFormat="1" ht="15.75" x14ac:dyDescent="0.25"/>
    <row r="433" s="75" customFormat="1" ht="15.75" x14ac:dyDescent="0.25"/>
    <row r="434" s="75" customFormat="1" ht="15.75" x14ac:dyDescent="0.25"/>
    <row r="435" s="75" customFormat="1" ht="15.75" x14ac:dyDescent="0.25"/>
    <row r="436" s="75" customFormat="1" ht="15.75" x14ac:dyDescent="0.25"/>
    <row r="437" s="75" customFormat="1" ht="15.75" x14ac:dyDescent="0.25"/>
    <row r="438" s="75" customFormat="1" ht="15.75" x14ac:dyDescent="0.25"/>
    <row r="439" s="75" customFormat="1" ht="15.75" x14ac:dyDescent="0.25"/>
    <row r="440" s="75" customFormat="1" ht="15.75" x14ac:dyDescent="0.25"/>
    <row r="441" s="75" customFormat="1" ht="15.75" x14ac:dyDescent="0.25"/>
    <row r="442" s="75" customFormat="1" ht="15.75" x14ac:dyDescent="0.25"/>
    <row r="443" s="75" customFormat="1" ht="15.75" x14ac:dyDescent="0.25"/>
    <row r="444" s="75" customFormat="1" ht="15.75" x14ac:dyDescent="0.25"/>
    <row r="445" s="75" customFormat="1" ht="15.75" x14ac:dyDescent="0.25"/>
    <row r="446" s="75" customFormat="1" ht="15.75" x14ac:dyDescent="0.25"/>
    <row r="447" s="75" customFormat="1" ht="15.75" x14ac:dyDescent="0.25"/>
    <row r="448" s="75" customFormat="1" ht="15.75" x14ac:dyDescent="0.25"/>
    <row r="449" s="75" customFormat="1" ht="15.75" x14ac:dyDescent="0.25"/>
    <row r="450" s="75" customFormat="1" ht="15.75" x14ac:dyDescent="0.25"/>
    <row r="451" s="75" customFormat="1" ht="15.75" x14ac:dyDescent="0.25"/>
    <row r="452" s="75" customFormat="1" ht="15.75" x14ac:dyDescent="0.25"/>
    <row r="453" s="75" customFormat="1" ht="15.75" x14ac:dyDescent="0.25"/>
    <row r="454" s="75" customFormat="1" ht="15.75" x14ac:dyDescent="0.25"/>
    <row r="455" s="75" customFormat="1" ht="15.75" x14ac:dyDescent="0.25"/>
    <row r="456" s="75" customFormat="1" ht="15.75" x14ac:dyDescent="0.25"/>
    <row r="457" s="75" customFormat="1" ht="15.75" x14ac:dyDescent="0.25"/>
    <row r="458" s="75" customFormat="1" ht="15.75" x14ac:dyDescent="0.25"/>
    <row r="459" s="75" customFormat="1" ht="15.75" x14ac:dyDescent="0.25"/>
    <row r="460" s="75" customFormat="1" ht="15.75" x14ac:dyDescent="0.25"/>
    <row r="461" s="75" customFormat="1" ht="15.75" x14ac:dyDescent="0.25"/>
    <row r="462" s="75" customFormat="1" ht="15.75" x14ac:dyDescent="0.25"/>
    <row r="463" s="75" customFormat="1" ht="15.75" x14ac:dyDescent="0.25"/>
    <row r="464" s="75" customFormat="1" ht="15.75" x14ac:dyDescent="0.25"/>
    <row r="465" s="75" customFormat="1" ht="15.75" x14ac:dyDescent="0.25"/>
    <row r="466" s="75" customFormat="1" ht="15.75" x14ac:dyDescent="0.25"/>
    <row r="467" s="75" customFormat="1" ht="15.75" x14ac:dyDescent="0.25"/>
    <row r="468" s="75" customFormat="1" ht="15.75" x14ac:dyDescent="0.25"/>
    <row r="469" s="75" customFormat="1" ht="15.75" x14ac:dyDescent="0.25"/>
    <row r="470" s="75" customFormat="1" ht="15.75" x14ac:dyDescent="0.25"/>
    <row r="471" s="75" customFormat="1" ht="15.75" x14ac:dyDescent="0.25"/>
    <row r="472" s="75" customFormat="1" ht="15.75" x14ac:dyDescent="0.25"/>
    <row r="473" s="75" customFormat="1" ht="15.75" x14ac:dyDescent="0.25"/>
    <row r="474" s="75" customFormat="1" ht="15.75" x14ac:dyDescent="0.25"/>
    <row r="475" s="75" customFormat="1" ht="15.75" x14ac:dyDescent="0.25"/>
    <row r="476" s="75" customFormat="1" ht="15.75" x14ac:dyDescent="0.25"/>
    <row r="477" s="75" customFormat="1" ht="15.75" x14ac:dyDescent="0.25"/>
    <row r="478" s="75" customFormat="1" ht="15.75" x14ac:dyDescent="0.25"/>
    <row r="479" s="75" customFormat="1" ht="15.75" x14ac:dyDescent="0.25"/>
    <row r="480" s="75" customFormat="1" ht="15.75" x14ac:dyDescent="0.25"/>
    <row r="481" s="75" customFormat="1" ht="15.75" x14ac:dyDescent="0.25"/>
    <row r="482" s="75" customFormat="1" ht="15.75" x14ac:dyDescent="0.25"/>
    <row r="483" s="75" customFormat="1" ht="15.75" x14ac:dyDescent="0.25"/>
    <row r="484" s="75" customFormat="1" ht="15.75" x14ac:dyDescent="0.25"/>
    <row r="485" s="75" customFormat="1" ht="15.75" x14ac:dyDescent="0.25"/>
    <row r="486" s="75" customFormat="1" ht="15.75" x14ac:dyDescent="0.25"/>
    <row r="487" s="75" customFormat="1" ht="15.75" x14ac:dyDescent="0.25"/>
    <row r="488" s="75" customFormat="1" ht="15.75" x14ac:dyDescent="0.25"/>
    <row r="489" s="75" customFormat="1" ht="15.75" x14ac:dyDescent="0.25"/>
    <row r="490" s="75" customFormat="1" ht="15.75" x14ac:dyDescent="0.25"/>
    <row r="491" s="75" customFormat="1" ht="15.75" x14ac:dyDescent="0.25"/>
    <row r="492" s="75" customFormat="1" ht="15.75" x14ac:dyDescent="0.25"/>
    <row r="493" s="75" customFormat="1" ht="15.75" x14ac:dyDescent="0.25"/>
    <row r="494" s="75" customFormat="1" ht="15.75" x14ac:dyDescent="0.25"/>
    <row r="495" s="75" customFormat="1" ht="15.75" x14ac:dyDescent="0.25"/>
    <row r="496" s="75" customFormat="1" ht="15.75" x14ac:dyDescent="0.25"/>
    <row r="497" spans="2:7" s="75" customFormat="1" ht="15.75" x14ac:dyDescent="0.25"/>
    <row r="498" spans="2:7" s="75" customFormat="1" ht="15.75" x14ac:dyDescent="0.25"/>
    <row r="499" spans="2:7" s="75" customFormat="1" ht="15.75" x14ac:dyDescent="0.25"/>
    <row r="500" spans="2:7" s="75" customFormat="1" ht="15.75" x14ac:dyDescent="0.25"/>
    <row r="501" spans="2:7" ht="15.75" x14ac:dyDescent="0.25">
      <c r="B501" s="75"/>
      <c r="C501" s="75"/>
      <c r="D501" s="75"/>
      <c r="E501" s="75"/>
      <c r="F501" s="75"/>
      <c r="G501" s="75"/>
    </row>
    <row r="502" spans="2:7" ht="15.75" x14ac:dyDescent="0.25">
      <c r="B502" s="75"/>
      <c r="C502" s="75"/>
      <c r="D502" s="75"/>
      <c r="E502" s="75"/>
      <c r="F502" s="75"/>
      <c r="G502" s="75"/>
    </row>
    <row r="503" spans="2:7" ht="15.75" x14ac:dyDescent="0.25">
      <c r="B503" s="75"/>
      <c r="C503" s="75"/>
      <c r="D503" s="75"/>
      <c r="E503" s="75"/>
      <c r="F503" s="75"/>
      <c r="G503" s="75"/>
    </row>
    <row r="504" spans="2:7" ht="15.75" x14ac:dyDescent="0.25">
      <c r="B504" s="75"/>
      <c r="C504" s="75"/>
      <c r="D504" s="75"/>
      <c r="E504" s="75"/>
      <c r="F504" s="75"/>
      <c r="G504" s="75"/>
    </row>
    <row r="505" spans="2:7" ht="15.75" x14ac:dyDescent="0.25">
      <c r="B505" s="75"/>
      <c r="C505" s="75"/>
      <c r="D505" s="75"/>
      <c r="E505" s="75"/>
      <c r="F505" s="75"/>
    </row>
    <row r="506" spans="2:7" ht="15.75" x14ac:dyDescent="0.25">
      <c r="B506" s="75"/>
      <c r="C506" s="75"/>
      <c r="D506" s="75"/>
      <c r="E506" s="75"/>
      <c r="F506" s="75"/>
    </row>
    <row r="895" spans="1:7" ht="15.75" x14ac:dyDescent="0.25">
      <c r="A895" s="80"/>
      <c r="G895" s="24"/>
    </row>
    <row r="896" spans="1:7" ht="15.75" x14ac:dyDescent="0.25">
      <c r="A896" s="80"/>
    </row>
  </sheetData>
  <mergeCells count="6">
    <mergeCell ref="A8:G8"/>
    <mergeCell ref="A1:G1"/>
    <mergeCell ref="A2:G2"/>
    <mergeCell ref="A3:G3"/>
    <mergeCell ref="A5:G5"/>
    <mergeCell ref="A7:G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opLeftCell="B10" workbookViewId="0">
      <selection activeCell="C36" sqref="C36"/>
    </sheetView>
  </sheetViews>
  <sheetFormatPr baseColWidth="10" defaultRowHeight="15" x14ac:dyDescent="0.25"/>
  <cols>
    <col min="1" max="1" width="3.140625" customWidth="1"/>
    <col min="2" max="2" width="7.85546875" customWidth="1"/>
    <col min="3" max="3" width="52.140625" customWidth="1"/>
    <col min="4" max="4" width="34.28515625" customWidth="1"/>
    <col min="5" max="5" width="15.140625" customWidth="1"/>
  </cols>
  <sheetData>
    <row r="2" spans="1:5" ht="31.5" x14ac:dyDescent="0.5">
      <c r="A2" s="56"/>
      <c r="B2" s="56"/>
      <c r="C2" s="56"/>
      <c r="D2" s="56"/>
      <c r="E2" s="56"/>
    </row>
    <row r="3" spans="1:5" ht="31.5" x14ac:dyDescent="0.5">
      <c r="A3" s="56"/>
      <c r="B3" s="56"/>
      <c r="C3" s="56"/>
      <c r="D3" s="56"/>
      <c r="E3" s="56"/>
    </row>
    <row r="4" spans="1:5" ht="31.5" x14ac:dyDescent="0.5">
      <c r="A4" s="56"/>
      <c r="B4" s="56"/>
      <c r="C4" s="56"/>
      <c r="D4" s="56"/>
      <c r="E4" s="56"/>
    </row>
    <row r="5" spans="1:5" ht="31.5" x14ac:dyDescent="0.5">
      <c r="A5" s="56"/>
      <c r="B5" s="56"/>
      <c r="C5" s="56"/>
      <c r="D5" s="56"/>
      <c r="E5" s="56"/>
    </row>
    <row r="6" spans="1:5" ht="31.5" x14ac:dyDescent="0.5">
      <c r="A6" s="56"/>
      <c r="B6" s="56"/>
      <c r="C6" s="56"/>
      <c r="D6" s="56"/>
      <c r="E6" s="56"/>
    </row>
    <row r="7" spans="1:5" ht="31.5" x14ac:dyDescent="0.5">
      <c r="A7" s="56"/>
      <c r="B7" s="56"/>
      <c r="C7" s="56"/>
      <c r="D7" s="56"/>
      <c r="E7" s="56"/>
    </row>
    <row r="8" spans="1:5" ht="31.5" x14ac:dyDescent="0.5">
      <c r="A8" s="56"/>
      <c r="B8" s="56"/>
      <c r="C8" s="56"/>
      <c r="D8" s="56"/>
      <c r="E8" s="56"/>
    </row>
    <row r="9" spans="1:5" ht="31.5" x14ac:dyDescent="0.5">
      <c r="A9" s="56"/>
      <c r="B9" s="56"/>
      <c r="C9" s="56"/>
      <c r="D9" s="56"/>
      <c r="E9" s="56"/>
    </row>
    <row r="10" spans="1:5" ht="31.5" x14ac:dyDescent="0.5">
      <c r="A10" s="56"/>
      <c r="B10" s="56"/>
      <c r="C10" s="57" t="s">
        <v>36</v>
      </c>
      <c r="D10" s="57" t="s">
        <v>37</v>
      </c>
      <c r="E10" s="58"/>
    </row>
    <row r="11" spans="1:5" ht="31.5" x14ac:dyDescent="0.5">
      <c r="A11" s="56"/>
      <c r="B11" s="56"/>
      <c r="C11" s="60" t="s">
        <v>38</v>
      </c>
      <c r="D11" s="59" t="s">
        <v>42</v>
      </c>
      <c r="E11" s="58"/>
    </row>
    <row r="12" spans="1:5" ht="31.5" x14ac:dyDescent="0.5">
      <c r="A12" s="56"/>
      <c r="B12" s="56"/>
      <c r="C12" s="60" t="s">
        <v>39</v>
      </c>
      <c r="D12" s="59" t="s">
        <v>41</v>
      </c>
      <c r="E12" s="58"/>
    </row>
    <row r="13" spans="1:5" ht="31.5" x14ac:dyDescent="0.5">
      <c r="A13" s="56"/>
      <c r="B13" s="56"/>
      <c r="C13" s="60" t="s">
        <v>40</v>
      </c>
      <c r="D13" s="59" t="s">
        <v>43</v>
      </c>
      <c r="E13" s="58"/>
    </row>
    <row r="14" spans="1:5" ht="31.5" x14ac:dyDescent="0.5">
      <c r="A14" s="56"/>
      <c r="B14" s="56"/>
      <c r="C14" s="56"/>
      <c r="D14" s="56"/>
      <c r="E14" s="56"/>
    </row>
    <row r="15" spans="1:5" ht="31.5" x14ac:dyDescent="0.5">
      <c r="A15" s="56"/>
      <c r="B15" s="56"/>
      <c r="C15" s="56"/>
      <c r="D15" s="56"/>
      <c r="E15" s="56"/>
    </row>
    <row r="16" spans="1:5" ht="31.5" x14ac:dyDescent="0.5">
      <c r="A16" s="56"/>
      <c r="B16" s="56"/>
      <c r="C16" s="56"/>
      <c r="D16" s="56"/>
      <c r="E16" s="56"/>
    </row>
    <row r="17" spans="1:5" ht="31.5" x14ac:dyDescent="0.5">
      <c r="A17" s="56"/>
      <c r="B17" s="56"/>
      <c r="C17" s="56"/>
      <c r="D17" s="56"/>
      <c r="E17" s="56"/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37"/>
  <sheetViews>
    <sheetView workbookViewId="0">
      <selection activeCell="I20" sqref="I20"/>
    </sheetView>
  </sheetViews>
  <sheetFormatPr baseColWidth="10" defaultRowHeight="15" x14ac:dyDescent="0.25"/>
  <cols>
    <col min="4" max="4" width="13.7109375" customWidth="1"/>
    <col min="5" max="5" width="17.5703125" customWidth="1"/>
    <col min="7" max="7" width="14.28515625" customWidth="1"/>
  </cols>
  <sheetData>
    <row r="4" spans="3:15" x14ac:dyDescent="0.25">
      <c r="I4" s="5"/>
      <c r="J4" s="5"/>
      <c r="K4" s="5"/>
      <c r="L4" s="5"/>
      <c r="M4" s="5"/>
      <c r="N4" s="5"/>
      <c r="O4" s="5"/>
    </row>
    <row r="5" spans="3:15" x14ac:dyDescent="0.25">
      <c r="C5" t="s">
        <v>293</v>
      </c>
      <c r="D5" t="s">
        <v>297</v>
      </c>
      <c r="E5" t="s">
        <v>294</v>
      </c>
      <c r="F5" t="s">
        <v>295</v>
      </c>
      <c r="G5" t="s">
        <v>296</v>
      </c>
      <c r="I5" s="5"/>
      <c r="J5" s="5"/>
      <c r="K5" s="5"/>
      <c r="L5" s="5"/>
      <c r="M5" s="5"/>
      <c r="N5" s="5"/>
      <c r="O5" s="5"/>
    </row>
    <row r="6" spans="3:15" x14ac:dyDescent="0.25">
      <c r="E6">
        <v>94426.42</v>
      </c>
      <c r="I6" s="5"/>
      <c r="J6" s="5"/>
      <c r="K6" s="5"/>
      <c r="L6" s="5"/>
      <c r="M6" s="5"/>
      <c r="N6" s="5"/>
      <c r="O6" s="5"/>
    </row>
    <row r="7" spans="3:15" x14ac:dyDescent="0.25">
      <c r="C7" s="112">
        <v>500</v>
      </c>
      <c r="D7" s="17"/>
      <c r="E7" s="112">
        <v>38400.879999999997</v>
      </c>
      <c r="F7" s="112">
        <v>1366.2</v>
      </c>
      <c r="G7" s="112">
        <v>557.4</v>
      </c>
      <c r="H7" s="5"/>
      <c r="I7" s="5"/>
      <c r="J7" s="17"/>
      <c r="K7" s="5"/>
      <c r="L7" s="17"/>
      <c r="M7" s="5"/>
      <c r="N7" s="17"/>
      <c r="O7" s="5"/>
    </row>
    <row r="8" spans="3:15" x14ac:dyDescent="0.25">
      <c r="C8" s="112">
        <v>500</v>
      </c>
      <c r="D8" s="112">
        <v>1452.39</v>
      </c>
      <c r="E8" s="112">
        <v>22863.03</v>
      </c>
      <c r="F8" s="112">
        <v>413.6</v>
      </c>
      <c r="G8" s="112">
        <v>276</v>
      </c>
      <c r="H8" s="5"/>
      <c r="I8" s="5"/>
      <c r="J8" s="17"/>
      <c r="K8" s="5"/>
      <c r="L8" s="17"/>
      <c r="M8" s="5"/>
      <c r="N8" s="17"/>
      <c r="O8" s="5"/>
    </row>
    <row r="9" spans="3:15" x14ac:dyDescent="0.25">
      <c r="C9" s="112">
        <v>500</v>
      </c>
      <c r="D9" s="17"/>
      <c r="E9" s="112">
        <v>24279.9</v>
      </c>
      <c r="F9" s="112">
        <v>465.3</v>
      </c>
      <c r="G9" s="112">
        <v>574.4</v>
      </c>
      <c r="H9" s="5"/>
      <c r="I9" s="5"/>
      <c r="J9" s="17"/>
      <c r="K9" s="5"/>
      <c r="L9" s="5"/>
      <c r="M9" s="5"/>
      <c r="N9" s="17"/>
      <c r="O9" s="5"/>
    </row>
    <row r="10" spans="3:15" x14ac:dyDescent="0.25">
      <c r="C10" s="112">
        <v>688</v>
      </c>
      <c r="D10" s="112">
        <v>1382.89</v>
      </c>
      <c r="E10" s="114">
        <f>E6+E7+E8+E9</f>
        <v>179970.22999999998</v>
      </c>
      <c r="F10" s="112">
        <v>1104</v>
      </c>
      <c r="G10" s="112">
        <v>2455.1999999999998</v>
      </c>
      <c r="H10" s="5"/>
      <c r="I10" s="5"/>
      <c r="J10" s="17"/>
      <c r="K10" s="17"/>
      <c r="L10" s="17"/>
      <c r="M10" s="5"/>
      <c r="N10" s="17"/>
      <c r="O10" s="5"/>
    </row>
    <row r="11" spans="3:15" x14ac:dyDescent="0.25">
      <c r="C11" s="112">
        <v>500</v>
      </c>
      <c r="D11" s="112">
        <v>1522.33</v>
      </c>
      <c r="E11" s="17"/>
      <c r="F11" s="112">
        <v>456</v>
      </c>
      <c r="G11" s="112">
        <v>574.4</v>
      </c>
      <c r="H11" s="5"/>
      <c r="I11" s="5"/>
      <c r="J11" s="17"/>
      <c r="K11" s="17"/>
      <c r="L11" s="116"/>
      <c r="M11" s="5"/>
      <c r="N11" s="17"/>
      <c r="O11" s="5"/>
    </row>
    <row r="12" spans="3:15" x14ac:dyDescent="0.25">
      <c r="C12" s="112">
        <v>500</v>
      </c>
      <c r="D12" s="112">
        <v>1382.89</v>
      </c>
      <c r="E12" s="17"/>
      <c r="F12" s="112">
        <v>414</v>
      </c>
      <c r="G12" s="17"/>
      <c r="H12" s="5"/>
      <c r="I12" s="5"/>
      <c r="J12" s="17"/>
      <c r="K12" s="5"/>
      <c r="L12" s="5"/>
      <c r="M12" s="5"/>
      <c r="N12" s="17"/>
      <c r="O12" s="5"/>
    </row>
    <row r="13" spans="3:15" x14ac:dyDescent="0.25">
      <c r="C13" s="112">
        <v>500</v>
      </c>
      <c r="D13" s="112">
        <v>3092.17</v>
      </c>
      <c r="E13" s="17"/>
      <c r="F13" s="112">
        <v>1366</v>
      </c>
      <c r="G13" s="112">
        <v>2842.4</v>
      </c>
      <c r="H13" s="5"/>
      <c r="I13" s="5"/>
      <c r="J13" s="17"/>
      <c r="K13" s="17"/>
      <c r="L13" s="5"/>
      <c r="M13" s="5"/>
      <c r="N13" s="114"/>
      <c r="O13" s="5"/>
    </row>
    <row r="14" spans="3:15" x14ac:dyDescent="0.25">
      <c r="C14" s="112">
        <v>414</v>
      </c>
      <c r="D14" s="112">
        <v>1110.81</v>
      </c>
      <c r="E14" s="17"/>
      <c r="F14" s="112">
        <v>465.3</v>
      </c>
      <c r="G14" s="114">
        <f>SUM(G7:G13)</f>
        <v>7279.7999999999993</v>
      </c>
      <c r="H14" s="5"/>
      <c r="I14" s="5"/>
      <c r="J14" s="17"/>
      <c r="K14" s="17"/>
      <c r="L14" s="5"/>
      <c r="M14" s="5"/>
      <c r="N14" s="5"/>
      <c r="O14" s="5"/>
    </row>
    <row r="15" spans="3:15" x14ac:dyDescent="0.25">
      <c r="C15" s="112">
        <v>500</v>
      </c>
      <c r="D15" s="112">
        <v>5493.19</v>
      </c>
      <c r="E15" s="17"/>
      <c r="F15" s="112">
        <v>1366.02</v>
      </c>
      <c r="G15" s="17"/>
      <c r="H15" s="5"/>
      <c r="I15" s="5"/>
      <c r="J15" s="17"/>
      <c r="K15" s="5"/>
      <c r="L15" s="5"/>
      <c r="M15" s="5"/>
      <c r="N15" s="5"/>
      <c r="O15" s="5"/>
    </row>
    <row r="16" spans="3:15" x14ac:dyDescent="0.25">
      <c r="C16" s="112">
        <v>500</v>
      </c>
      <c r="D16" s="114">
        <f>SUM(D7:D15)</f>
        <v>15436.670000000002</v>
      </c>
      <c r="E16" s="17"/>
      <c r="F16" s="112">
        <v>413.6</v>
      </c>
      <c r="G16" s="17"/>
      <c r="H16" s="5"/>
      <c r="I16" s="5"/>
      <c r="J16" s="17"/>
      <c r="K16" s="5"/>
      <c r="L16" s="5"/>
      <c r="M16" s="5"/>
      <c r="N16" s="5"/>
      <c r="O16" s="5"/>
    </row>
    <row r="17" spans="3:15" x14ac:dyDescent="0.25">
      <c r="C17" s="112">
        <v>500</v>
      </c>
      <c r="D17" s="17"/>
      <c r="E17" s="17"/>
      <c r="F17" s="112">
        <v>540</v>
      </c>
      <c r="G17" s="17"/>
      <c r="H17" s="5"/>
      <c r="I17" s="5"/>
      <c r="J17" s="17"/>
      <c r="K17" s="5"/>
      <c r="L17" s="5"/>
      <c r="M17" s="5"/>
      <c r="N17" s="5"/>
      <c r="O17" s="5"/>
    </row>
    <row r="18" spans="3:15" x14ac:dyDescent="0.25">
      <c r="C18" s="112">
        <v>500</v>
      </c>
      <c r="D18" s="17"/>
      <c r="E18" s="17"/>
      <c r="F18" s="112">
        <v>1242</v>
      </c>
      <c r="G18" s="17"/>
      <c r="H18" s="5"/>
      <c r="I18" s="5"/>
      <c r="J18" s="17"/>
      <c r="K18" s="5"/>
      <c r="L18" s="5"/>
      <c r="M18" s="5"/>
      <c r="N18" s="5"/>
      <c r="O18" s="5"/>
    </row>
    <row r="19" spans="3:15" x14ac:dyDescent="0.25">
      <c r="C19" s="112">
        <v>500</v>
      </c>
      <c r="D19" s="17"/>
      <c r="E19" s="17"/>
      <c r="F19" s="112">
        <v>1104</v>
      </c>
      <c r="G19" s="17"/>
      <c r="H19" s="5"/>
      <c r="I19" s="5"/>
      <c r="J19" s="17"/>
      <c r="K19" s="5"/>
      <c r="L19" s="5"/>
      <c r="M19" s="5"/>
      <c r="N19" s="5"/>
      <c r="O19" s="5"/>
    </row>
    <row r="20" spans="3:15" x14ac:dyDescent="0.25">
      <c r="C20" s="112">
        <v>500</v>
      </c>
      <c r="D20" s="17"/>
      <c r="E20" s="8"/>
      <c r="F20" s="115">
        <v>465.3</v>
      </c>
      <c r="G20" s="8"/>
      <c r="I20" s="5"/>
      <c r="J20" s="17"/>
      <c r="K20" s="5"/>
      <c r="L20" s="5"/>
      <c r="M20" s="5"/>
      <c r="N20" s="5"/>
      <c r="O20" s="5"/>
    </row>
    <row r="21" spans="3:15" x14ac:dyDescent="0.25">
      <c r="C21" s="112">
        <v>500</v>
      </c>
      <c r="D21" s="17"/>
      <c r="E21" s="8"/>
      <c r="F21" s="113">
        <f>SUM(F7:F20)</f>
        <v>11181.32</v>
      </c>
      <c r="G21" s="8"/>
      <c r="I21" s="5"/>
      <c r="J21" s="17"/>
      <c r="K21" s="5"/>
      <c r="L21" s="5"/>
      <c r="M21" s="5"/>
      <c r="N21" s="5"/>
      <c r="O21" s="5"/>
    </row>
    <row r="22" spans="3:15" x14ac:dyDescent="0.25">
      <c r="C22" s="112">
        <v>500</v>
      </c>
      <c r="D22" s="17"/>
      <c r="E22" s="8"/>
      <c r="F22" s="8"/>
      <c r="G22" s="8"/>
      <c r="I22" s="5"/>
      <c r="J22" s="17"/>
      <c r="K22" s="5"/>
      <c r="L22" s="5"/>
      <c r="M22" s="17"/>
      <c r="N22" s="5"/>
      <c r="O22" s="5"/>
    </row>
    <row r="23" spans="3:15" x14ac:dyDescent="0.25">
      <c r="C23" s="112">
        <v>500</v>
      </c>
      <c r="D23" s="17"/>
      <c r="E23" s="8"/>
      <c r="F23" s="8"/>
      <c r="G23" s="8"/>
      <c r="I23" s="5"/>
      <c r="J23" s="17"/>
      <c r="K23" s="5"/>
      <c r="L23" s="5"/>
      <c r="M23" s="5"/>
      <c r="N23" s="5"/>
      <c r="O23" s="5"/>
    </row>
    <row r="24" spans="3:15" x14ac:dyDescent="0.25">
      <c r="C24" s="112">
        <v>500</v>
      </c>
      <c r="D24" s="17"/>
      <c r="E24" s="8"/>
      <c r="F24" s="8">
        <f>C35+D16+E10+G14+F21</f>
        <v>228038.02</v>
      </c>
      <c r="G24" s="8"/>
      <c r="I24" s="5"/>
      <c r="J24" s="17"/>
      <c r="K24" s="5"/>
      <c r="L24" s="5"/>
      <c r="M24" s="5"/>
      <c r="N24" s="5"/>
      <c r="O24" s="5"/>
    </row>
    <row r="25" spans="3:15" x14ac:dyDescent="0.25">
      <c r="C25" s="112">
        <v>500</v>
      </c>
      <c r="D25" s="17"/>
      <c r="E25" s="8"/>
      <c r="F25" s="8">
        <f>228038.02</f>
        <v>228038.02</v>
      </c>
      <c r="G25" s="8"/>
      <c r="I25" s="5"/>
      <c r="J25" s="17"/>
      <c r="K25" s="5"/>
      <c r="L25" s="5"/>
      <c r="M25" s="5"/>
      <c r="N25" s="5"/>
      <c r="O25" s="5"/>
    </row>
    <row r="26" spans="3:15" x14ac:dyDescent="0.25">
      <c r="C26" s="112">
        <v>500</v>
      </c>
      <c r="D26" s="17"/>
      <c r="E26" s="8"/>
      <c r="F26" s="8">
        <f>F24-F25</f>
        <v>0</v>
      </c>
      <c r="G26" s="8"/>
      <c r="I26" s="117"/>
      <c r="J26" s="17"/>
      <c r="K26" s="5"/>
      <c r="L26" s="5"/>
      <c r="M26" s="5"/>
      <c r="N26" s="5"/>
      <c r="O26" s="5"/>
    </row>
    <row r="27" spans="3:15" x14ac:dyDescent="0.25">
      <c r="C27" s="112">
        <v>500</v>
      </c>
      <c r="D27" s="17"/>
      <c r="E27" s="8"/>
      <c r="F27" s="8"/>
      <c r="G27" s="8"/>
      <c r="I27" s="5"/>
      <c r="J27" s="17"/>
      <c r="K27" s="5"/>
      <c r="L27" s="5"/>
      <c r="M27" s="5"/>
      <c r="N27" s="5"/>
      <c r="O27" s="5"/>
    </row>
    <row r="28" spans="3:15" x14ac:dyDescent="0.25">
      <c r="C28" s="112">
        <v>500</v>
      </c>
      <c r="D28" s="17"/>
      <c r="E28" s="8"/>
      <c r="F28" s="8"/>
      <c r="G28" s="8"/>
      <c r="I28" s="5"/>
      <c r="J28" s="17"/>
      <c r="K28" s="5"/>
      <c r="L28" s="5"/>
      <c r="M28" s="5"/>
      <c r="N28" s="5"/>
      <c r="O28" s="5"/>
    </row>
    <row r="29" spans="3:15" x14ac:dyDescent="0.25">
      <c r="C29" s="112">
        <v>368</v>
      </c>
      <c r="D29" s="17"/>
      <c r="E29" s="8"/>
      <c r="F29" s="8"/>
      <c r="G29" s="8"/>
      <c r="I29" s="5"/>
      <c r="J29" s="17"/>
      <c r="K29" s="5"/>
      <c r="L29" s="114"/>
      <c r="M29" s="5"/>
      <c r="N29" s="5"/>
      <c r="O29" s="5"/>
    </row>
    <row r="30" spans="3:15" x14ac:dyDescent="0.25">
      <c r="C30" s="112">
        <v>500</v>
      </c>
      <c r="D30" s="17"/>
      <c r="E30" s="8"/>
      <c r="F30" s="8"/>
      <c r="G30" s="8"/>
      <c r="I30" s="5"/>
      <c r="J30" s="17"/>
      <c r="K30" s="5"/>
      <c r="L30" s="5"/>
      <c r="M30" s="5"/>
      <c r="N30" s="5"/>
      <c r="O30" s="5"/>
    </row>
    <row r="31" spans="3:15" x14ac:dyDescent="0.25">
      <c r="C31" s="112">
        <v>700</v>
      </c>
      <c r="D31" s="17"/>
      <c r="E31" s="8"/>
      <c r="F31" s="8"/>
      <c r="G31" s="8"/>
      <c r="I31" s="5"/>
      <c r="J31" s="17"/>
      <c r="K31" s="5"/>
      <c r="L31" s="5"/>
      <c r="M31" s="5"/>
      <c r="N31" s="5"/>
      <c r="O31" s="5"/>
    </row>
    <row r="32" spans="3:15" x14ac:dyDescent="0.25">
      <c r="C32" s="112">
        <v>500</v>
      </c>
      <c r="D32" s="17"/>
      <c r="E32" s="8"/>
      <c r="F32" s="8"/>
      <c r="G32" s="8"/>
      <c r="I32" s="5"/>
      <c r="J32" s="17"/>
      <c r="K32" s="5"/>
      <c r="L32" s="5"/>
      <c r="M32" s="5"/>
      <c r="N32" s="5"/>
      <c r="O32" s="5"/>
    </row>
    <row r="33" spans="3:15" s="79" customFormat="1" x14ac:dyDescent="0.25">
      <c r="C33" s="112">
        <v>500</v>
      </c>
      <c r="D33" s="17"/>
      <c r="E33" s="8"/>
      <c r="F33" s="8"/>
      <c r="G33" s="8"/>
      <c r="I33" s="5"/>
      <c r="J33" s="17"/>
      <c r="K33" s="5"/>
      <c r="L33" s="5"/>
      <c r="M33" s="5"/>
      <c r="N33" s="5"/>
      <c r="O33" s="5"/>
    </row>
    <row r="34" spans="3:15" s="79" customFormat="1" x14ac:dyDescent="0.25">
      <c r="C34" s="112">
        <v>500</v>
      </c>
      <c r="D34" s="17"/>
      <c r="E34" s="8"/>
      <c r="F34" s="8"/>
      <c r="G34" s="8"/>
      <c r="I34" s="5"/>
      <c r="J34" s="17"/>
      <c r="K34" s="5"/>
      <c r="L34" s="5"/>
      <c r="M34" s="5"/>
      <c r="N34" s="5"/>
      <c r="O34" s="5"/>
    </row>
    <row r="35" spans="3:15" x14ac:dyDescent="0.25">
      <c r="C35" s="113">
        <f>SUM(C7:C34)</f>
        <v>14170</v>
      </c>
      <c r="I35" s="5"/>
      <c r="J35" s="5"/>
      <c r="K35" s="5"/>
      <c r="L35" s="5"/>
      <c r="M35" s="5"/>
      <c r="N35" s="5"/>
      <c r="O35" s="5"/>
    </row>
    <row r="36" spans="3:15" x14ac:dyDescent="0.25">
      <c r="I36" s="5"/>
      <c r="J36" s="117"/>
      <c r="K36" s="5"/>
      <c r="L36" s="5"/>
      <c r="M36" s="5"/>
      <c r="N36" s="5"/>
      <c r="O36" s="5"/>
    </row>
    <row r="37" spans="3:15" x14ac:dyDescent="0.25">
      <c r="I37" s="5"/>
      <c r="J37" s="5"/>
      <c r="K37" s="5"/>
      <c r="L37" s="5"/>
      <c r="M37" s="5"/>
      <c r="N37" s="5"/>
      <c r="O37" s="5"/>
    </row>
  </sheetData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3:H15"/>
  <sheetViews>
    <sheetView workbookViewId="0">
      <selection activeCell="H15" sqref="H15"/>
    </sheetView>
  </sheetViews>
  <sheetFormatPr baseColWidth="10" defaultRowHeight="15" x14ac:dyDescent="0.25"/>
  <cols>
    <col min="8" max="8" width="14.140625" bestFit="1" customWidth="1"/>
  </cols>
  <sheetData>
    <row r="13" spans="8:8" x14ac:dyDescent="0.25">
      <c r="H13" s="8">
        <v>2355422</v>
      </c>
    </row>
    <row r="14" spans="8:8" x14ac:dyDescent="0.25">
      <c r="H14" s="8">
        <v>25613444.879999999</v>
      </c>
    </row>
    <row r="15" spans="8:8" x14ac:dyDescent="0.25">
      <c r="H15" s="8">
        <f>SUM(H13:H14)</f>
        <v>27968866.879999999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opLeftCell="A113" workbookViewId="0">
      <selection activeCell="C128" sqref="C128"/>
    </sheetView>
  </sheetViews>
  <sheetFormatPr baseColWidth="10" defaultRowHeight="15" x14ac:dyDescent="0.25"/>
  <cols>
    <col min="1" max="1" width="19.140625" customWidth="1"/>
    <col min="2" max="2" width="18.140625" customWidth="1"/>
    <col min="3" max="3" width="45.28515625" bestFit="1" customWidth="1"/>
    <col min="4" max="4" width="39.5703125" customWidth="1"/>
    <col min="5" max="5" width="17.5703125" customWidth="1"/>
  </cols>
  <sheetData>
    <row r="1" spans="1:5" ht="56.25" customHeight="1" x14ac:dyDescent="0.25">
      <c r="A1" s="86">
        <v>44564</v>
      </c>
      <c r="B1" s="87" t="s">
        <v>662</v>
      </c>
      <c r="C1" s="85" t="s">
        <v>663</v>
      </c>
      <c r="D1" s="85" t="s">
        <v>664</v>
      </c>
      <c r="E1" s="89">
        <v>1509312.75</v>
      </c>
    </row>
    <row r="2" spans="1:5" ht="56.25" customHeight="1" x14ac:dyDescent="0.25">
      <c r="A2" s="86">
        <v>44564</v>
      </c>
      <c r="B2" s="87" t="s">
        <v>665</v>
      </c>
      <c r="C2" s="85" t="s">
        <v>666</v>
      </c>
      <c r="D2" s="85" t="s">
        <v>667</v>
      </c>
      <c r="E2" s="89">
        <v>114356</v>
      </c>
    </row>
    <row r="3" spans="1:5" ht="56.25" customHeight="1" x14ac:dyDescent="0.25">
      <c r="A3" s="86">
        <v>44564</v>
      </c>
      <c r="B3" s="87" t="s">
        <v>668</v>
      </c>
      <c r="C3" s="85" t="s">
        <v>669</v>
      </c>
      <c r="D3" s="85" t="s">
        <v>670</v>
      </c>
      <c r="E3" s="89">
        <v>603291.57999999996</v>
      </c>
    </row>
    <row r="4" spans="1:5" ht="56.25" customHeight="1" x14ac:dyDescent="0.25">
      <c r="A4" s="86">
        <v>44564</v>
      </c>
      <c r="B4" s="87" t="s">
        <v>671</v>
      </c>
      <c r="C4" s="85" t="s">
        <v>672</v>
      </c>
      <c r="D4" s="85" t="s">
        <v>673</v>
      </c>
      <c r="E4" s="89">
        <v>1634000</v>
      </c>
    </row>
    <row r="5" spans="1:5" ht="56.25" customHeight="1" x14ac:dyDescent="0.25">
      <c r="A5" s="86">
        <v>44564</v>
      </c>
      <c r="B5" s="87" t="s">
        <v>674</v>
      </c>
      <c r="C5" s="85" t="s">
        <v>56</v>
      </c>
      <c r="D5" s="85" t="s">
        <v>675</v>
      </c>
      <c r="E5" s="89">
        <v>685203.75</v>
      </c>
    </row>
    <row r="6" spans="1:5" ht="47.25" x14ac:dyDescent="0.25">
      <c r="A6" s="86">
        <v>44564</v>
      </c>
      <c r="B6" s="87" t="s">
        <v>676</v>
      </c>
      <c r="C6" s="85" t="s">
        <v>677</v>
      </c>
      <c r="D6" s="85" t="s">
        <v>678</v>
      </c>
      <c r="E6" s="89">
        <v>1877010</v>
      </c>
    </row>
    <row r="7" spans="1:5" ht="60.75" customHeight="1" x14ac:dyDescent="0.25">
      <c r="A7" s="86">
        <v>44564</v>
      </c>
      <c r="B7" s="87" t="s">
        <v>679</v>
      </c>
      <c r="C7" s="85" t="s">
        <v>550</v>
      </c>
      <c r="D7" s="85" t="s">
        <v>680</v>
      </c>
      <c r="E7" s="89">
        <v>306075.75</v>
      </c>
    </row>
    <row r="8" spans="1:5" ht="51.75" customHeight="1" x14ac:dyDescent="0.25">
      <c r="A8" s="86">
        <v>44564</v>
      </c>
      <c r="B8" s="87" t="s">
        <v>681</v>
      </c>
      <c r="C8" s="85" t="s">
        <v>682</v>
      </c>
      <c r="D8" s="85" t="s">
        <v>683</v>
      </c>
      <c r="E8" s="89">
        <v>686475</v>
      </c>
    </row>
    <row r="9" spans="1:5" ht="42" customHeight="1" x14ac:dyDescent="0.25">
      <c r="A9" s="86">
        <v>44564</v>
      </c>
      <c r="B9" s="87" t="s">
        <v>684</v>
      </c>
      <c r="C9" s="85" t="s">
        <v>685</v>
      </c>
      <c r="D9" s="85" t="s">
        <v>686</v>
      </c>
      <c r="E9" s="89">
        <v>809548.2</v>
      </c>
    </row>
    <row r="10" spans="1:5" ht="71.25" customHeight="1" x14ac:dyDescent="0.25">
      <c r="A10" s="86">
        <v>44564</v>
      </c>
      <c r="B10" s="87" t="s">
        <v>687</v>
      </c>
      <c r="C10" s="85" t="s">
        <v>688</v>
      </c>
      <c r="D10" s="85" t="s">
        <v>689</v>
      </c>
      <c r="E10" s="89">
        <v>1020572.5</v>
      </c>
    </row>
    <row r="11" spans="1:5" ht="40.5" customHeight="1" x14ac:dyDescent="0.25">
      <c r="A11" s="86">
        <v>44564</v>
      </c>
      <c r="B11" s="87" t="s">
        <v>690</v>
      </c>
      <c r="C11" s="85" t="s">
        <v>691</v>
      </c>
      <c r="D11" s="85" t="s">
        <v>692</v>
      </c>
      <c r="E11" s="89">
        <v>196160.18</v>
      </c>
    </row>
    <row r="12" spans="1:5" ht="44.25" customHeight="1" x14ac:dyDescent="0.25">
      <c r="A12" s="86">
        <v>44564</v>
      </c>
      <c r="B12" s="87" t="s">
        <v>693</v>
      </c>
      <c r="C12" s="85" t="s">
        <v>694</v>
      </c>
      <c r="D12" s="85" t="s">
        <v>695</v>
      </c>
      <c r="E12" s="89">
        <v>253572</v>
      </c>
    </row>
    <row r="13" spans="1:5" ht="36" customHeight="1" x14ac:dyDescent="0.25">
      <c r="A13" s="86">
        <v>44564</v>
      </c>
      <c r="B13" s="87" t="s">
        <v>696</v>
      </c>
      <c r="C13" s="85" t="s">
        <v>697</v>
      </c>
      <c r="D13" s="85" t="s">
        <v>698</v>
      </c>
      <c r="E13" s="89">
        <v>124300</v>
      </c>
    </row>
    <row r="14" spans="1:5" ht="34.5" customHeight="1" x14ac:dyDescent="0.25">
      <c r="A14" s="86">
        <v>44564</v>
      </c>
      <c r="B14" s="87" t="s">
        <v>699</v>
      </c>
      <c r="C14" s="85" t="s">
        <v>700</v>
      </c>
      <c r="D14" s="85" t="s">
        <v>701</v>
      </c>
      <c r="E14" s="89">
        <v>135778.75</v>
      </c>
    </row>
    <row r="15" spans="1:5" ht="42.75" customHeight="1" x14ac:dyDescent="0.25">
      <c r="A15" s="86">
        <v>44564</v>
      </c>
      <c r="B15" s="87" t="s">
        <v>702</v>
      </c>
      <c r="C15" s="85" t="s">
        <v>703</v>
      </c>
      <c r="D15" s="85" t="s">
        <v>704</v>
      </c>
      <c r="E15" s="89">
        <v>871629.04</v>
      </c>
    </row>
    <row r="16" spans="1:5" ht="74.25" customHeight="1" x14ac:dyDescent="0.25">
      <c r="A16" s="86">
        <v>44564</v>
      </c>
      <c r="B16" s="87" t="s">
        <v>705</v>
      </c>
      <c r="C16" s="85" t="s">
        <v>706</v>
      </c>
      <c r="D16" s="85" t="s">
        <v>707</v>
      </c>
      <c r="E16" s="89">
        <v>233.42</v>
      </c>
    </row>
    <row r="17" spans="1:5" ht="57" customHeight="1" x14ac:dyDescent="0.25">
      <c r="A17" s="86">
        <v>44564</v>
      </c>
      <c r="B17" s="87" t="s">
        <v>708</v>
      </c>
      <c r="C17" s="85" t="s">
        <v>709</v>
      </c>
      <c r="D17" s="85" t="s">
        <v>710</v>
      </c>
      <c r="E17" s="89">
        <v>215083.31</v>
      </c>
    </row>
    <row r="18" spans="1:5" ht="48" customHeight="1" x14ac:dyDescent="0.25">
      <c r="A18" s="86">
        <v>44564</v>
      </c>
      <c r="B18" s="87" t="s">
        <v>711</v>
      </c>
      <c r="C18" s="85" t="s">
        <v>712</v>
      </c>
      <c r="D18" s="85" t="s">
        <v>713</v>
      </c>
      <c r="E18" s="89">
        <v>966507.93</v>
      </c>
    </row>
    <row r="19" spans="1:5" ht="50.25" customHeight="1" x14ac:dyDescent="0.25">
      <c r="A19" s="86">
        <v>44595</v>
      </c>
      <c r="B19" s="87" t="s">
        <v>714</v>
      </c>
      <c r="C19" s="76" t="s">
        <v>715</v>
      </c>
      <c r="D19" s="85" t="s">
        <v>716</v>
      </c>
      <c r="E19" s="89">
        <v>762411</v>
      </c>
    </row>
    <row r="20" spans="1:5" ht="50.25" customHeight="1" x14ac:dyDescent="0.25">
      <c r="A20" s="86">
        <v>44595</v>
      </c>
      <c r="B20" s="87" t="s">
        <v>717</v>
      </c>
      <c r="C20" s="76" t="s">
        <v>718</v>
      </c>
      <c r="D20" s="85" t="s">
        <v>719</v>
      </c>
      <c r="E20" s="89">
        <v>171718.98</v>
      </c>
    </row>
    <row r="21" spans="1:5" ht="50.25" customHeight="1" x14ac:dyDescent="0.25">
      <c r="A21" s="86">
        <v>44595</v>
      </c>
      <c r="B21" s="87" t="s">
        <v>720</v>
      </c>
      <c r="C21" s="76" t="s">
        <v>721</v>
      </c>
      <c r="D21" s="85" t="s">
        <v>722</v>
      </c>
      <c r="E21" s="89">
        <v>102600</v>
      </c>
    </row>
    <row r="22" spans="1:5" ht="50.25" customHeight="1" x14ac:dyDescent="0.25">
      <c r="A22" s="86">
        <v>44595</v>
      </c>
      <c r="B22" s="87" t="s">
        <v>723</v>
      </c>
      <c r="C22" s="85" t="s">
        <v>724</v>
      </c>
      <c r="D22" s="85" t="s">
        <v>725</v>
      </c>
      <c r="E22" s="89">
        <v>182812.4</v>
      </c>
    </row>
    <row r="23" spans="1:5" ht="31.5" x14ac:dyDescent="0.25">
      <c r="A23" s="86">
        <v>44595</v>
      </c>
      <c r="B23" s="87" t="s">
        <v>726</v>
      </c>
      <c r="C23" s="76" t="s">
        <v>727</v>
      </c>
      <c r="D23" s="85" t="s">
        <v>728</v>
      </c>
      <c r="E23" s="89">
        <v>453948</v>
      </c>
    </row>
    <row r="24" spans="1:5" ht="47.25" x14ac:dyDescent="0.25">
      <c r="A24" s="86">
        <v>44595</v>
      </c>
      <c r="B24" s="87" t="s">
        <v>729</v>
      </c>
      <c r="C24" s="76" t="s">
        <v>730</v>
      </c>
      <c r="D24" s="85" t="s">
        <v>731</v>
      </c>
      <c r="E24" s="89">
        <v>528428.6</v>
      </c>
    </row>
    <row r="25" spans="1:5" ht="39.75" customHeight="1" x14ac:dyDescent="0.25">
      <c r="A25" s="86">
        <v>44623</v>
      </c>
      <c r="B25" s="87" t="s">
        <v>732</v>
      </c>
      <c r="C25" s="85" t="s">
        <v>733</v>
      </c>
      <c r="D25" s="85" t="s">
        <v>734</v>
      </c>
      <c r="E25" s="89">
        <v>372303.1</v>
      </c>
    </row>
    <row r="26" spans="1:5" ht="39.75" customHeight="1" x14ac:dyDescent="0.25">
      <c r="A26" s="86">
        <v>44623</v>
      </c>
      <c r="B26" s="87" t="s">
        <v>735</v>
      </c>
      <c r="C26" s="76" t="s">
        <v>736</v>
      </c>
      <c r="D26" s="85" t="s">
        <v>737</v>
      </c>
      <c r="E26" s="89">
        <v>452628.22</v>
      </c>
    </row>
    <row r="27" spans="1:5" ht="39.75" customHeight="1" x14ac:dyDescent="0.25">
      <c r="A27" s="86">
        <v>44623</v>
      </c>
      <c r="B27" s="87" t="s">
        <v>738</v>
      </c>
      <c r="C27" s="76" t="s">
        <v>739</v>
      </c>
      <c r="D27" s="85" t="s">
        <v>740</v>
      </c>
      <c r="E27" s="89">
        <v>1205414.2</v>
      </c>
    </row>
    <row r="28" spans="1:5" ht="39.75" customHeight="1" x14ac:dyDescent="0.25">
      <c r="A28" s="86">
        <v>44623</v>
      </c>
      <c r="B28" s="87" t="s">
        <v>741</v>
      </c>
      <c r="C28" s="76" t="s">
        <v>742</v>
      </c>
      <c r="D28" s="85" t="s">
        <v>743</v>
      </c>
      <c r="E28" s="89">
        <v>1497600.49</v>
      </c>
    </row>
    <row r="29" spans="1:5" ht="51.75" customHeight="1" x14ac:dyDescent="0.25">
      <c r="A29" s="86">
        <v>44623</v>
      </c>
      <c r="B29" s="87" t="s">
        <v>744</v>
      </c>
      <c r="C29" s="76" t="s">
        <v>745</v>
      </c>
      <c r="D29" s="85" t="s">
        <v>746</v>
      </c>
      <c r="E29" s="89">
        <v>619334.19999999995</v>
      </c>
    </row>
    <row r="30" spans="1:5" ht="31.5" x14ac:dyDescent="0.25">
      <c r="A30" s="86">
        <v>44654</v>
      </c>
      <c r="B30" s="87" t="s">
        <v>747</v>
      </c>
      <c r="C30" s="76" t="s">
        <v>159</v>
      </c>
      <c r="D30" s="85" t="s">
        <v>748</v>
      </c>
      <c r="E30" s="89">
        <v>80750</v>
      </c>
    </row>
    <row r="31" spans="1:5" ht="31.5" x14ac:dyDescent="0.25">
      <c r="A31" s="86">
        <v>44654</v>
      </c>
      <c r="B31" s="87" t="s">
        <v>749</v>
      </c>
      <c r="C31" s="76" t="s">
        <v>750</v>
      </c>
      <c r="D31" s="85" t="s">
        <v>751</v>
      </c>
      <c r="E31" s="89">
        <v>54424.19</v>
      </c>
    </row>
    <row r="32" spans="1:5" ht="15.75" x14ac:dyDescent="0.25">
      <c r="A32" s="86">
        <v>44654</v>
      </c>
      <c r="B32" s="87" t="s">
        <v>752</v>
      </c>
      <c r="C32" s="76" t="s">
        <v>53</v>
      </c>
      <c r="D32" s="85" t="s">
        <v>753</v>
      </c>
      <c r="E32" s="89">
        <v>191187.5</v>
      </c>
    </row>
    <row r="33" spans="1:5" ht="31.5" x14ac:dyDescent="0.25">
      <c r="A33" s="86">
        <v>44654</v>
      </c>
      <c r="B33" s="87" t="s">
        <v>754</v>
      </c>
      <c r="C33" s="76" t="s">
        <v>755</v>
      </c>
      <c r="D33" s="85" t="s">
        <v>756</v>
      </c>
      <c r="E33" s="89">
        <v>11526</v>
      </c>
    </row>
    <row r="34" spans="1:5" ht="78.75" x14ac:dyDescent="0.25">
      <c r="A34" s="86">
        <v>44654</v>
      </c>
      <c r="B34" s="87" t="s">
        <v>757</v>
      </c>
      <c r="C34" s="76" t="s">
        <v>758</v>
      </c>
      <c r="D34" s="85" t="s">
        <v>759</v>
      </c>
      <c r="E34" s="89">
        <v>1058009</v>
      </c>
    </row>
    <row r="35" spans="1:5" ht="31.5" x14ac:dyDescent="0.25">
      <c r="A35" s="86">
        <v>44654</v>
      </c>
      <c r="B35" s="87" t="s">
        <v>760</v>
      </c>
      <c r="C35" s="76" t="s">
        <v>700</v>
      </c>
      <c r="D35" s="85" t="s">
        <v>761</v>
      </c>
      <c r="E35" s="89">
        <v>375537.85</v>
      </c>
    </row>
    <row r="36" spans="1:5" ht="31.5" x14ac:dyDescent="0.25">
      <c r="A36" s="86">
        <v>44654</v>
      </c>
      <c r="B36" s="87" t="s">
        <v>762</v>
      </c>
      <c r="C36" s="76" t="s">
        <v>55</v>
      </c>
      <c r="D36" s="85" t="s">
        <v>763</v>
      </c>
      <c r="E36" s="89">
        <v>1708575</v>
      </c>
    </row>
    <row r="37" spans="1:5" ht="31.5" x14ac:dyDescent="0.25">
      <c r="A37" s="86">
        <v>44654</v>
      </c>
      <c r="B37" s="87" t="s">
        <v>764</v>
      </c>
      <c r="C37" s="76" t="s">
        <v>765</v>
      </c>
      <c r="D37" s="85" t="s">
        <v>766</v>
      </c>
      <c r="E37" s="89">
        <v>109836</v>
      </c>
    </row>
    <row r="38" spans="1:5" ht="31.5" x14ac:dyDescent="0.25">
      <c r="A38" s="86">
        <v>44654</v>
      </c>
      <c r="B38" s="87" t="s">
        <v>767</v>
      </c>
      <c r="C38" s="85" t="s">
        <v>768</v>
      </c>
      <c r="D38" s="85" t="s">
        <v>769</v>
      </c>
      <c r="E38" s="89">
        <v>257518</v>
      </c>
    </row>
    <row r="39" spans="1:5" ht="31.5" x14ac:dyDescent="0.25">
      <c r="A39" s="86">
        <v>44654</v>
      </c>
      <c r="B39" s="87" t="s">
        <v>770</v>
      </c>
      <c r="C39" s="85" t="s">
        <v>457</v>
      </c>
      <c r="D39" s="85" t="s">
        <v>771</v>
      </c>
      <c r="E39" s="89">
        <v>193286.5</v>
      </c>
    </row>
    <row r="40" spans="1:5" ht="31.5" x14ac:dyDescent="0.25">
      <c r="A40" s="86">
        <v>44654</v>
      </c>
      <c r="B40" s="87" t="s">
        <v>772</v>
      </c>
      <c r="C40" s="85" t="s">
        <v>457</v>
      </c>
      <c r="D40" s="85" t="s">
        <v>773</v>
      </c>
      <c r="E40" s="89">
        <v>677234.4</v>
      </c>
    </row>
    <row r="41" spans="1:5" ht="31.5" x14ac:dyDescent="0.25">
      <c r="A41" s="86">
        <v>44654</v>
      </c>
      <c r="B41" s="87" t="s">
        <v>774</v>
      </c>
      <c r="C41" s="76" t="s">
        <v>51</v>
      </c>
      <c r="D41" s="85" t="s">
        <v>775</v>
      </c>
      <c r="E41" s="89">
        <v>639009</v>
      </c>
    </row>
    <row r="42" spans="1:5" ht="31.5" x14ac:dyDescent="0.25">
      <c r="A42" s="86">
        <v>44776</v>
      </c>
      <c r="B42" s="87" t="s">
        <v>776</v>
      </c>
      <c r="C42" s="76" t="s">
        <v>691</v>
      </c>
      <c r="D42" s="85" t="s">
        <v>777</v>
      </c>
      <c r="E42" s="89">
        <v>141131.46</v>
      </c>
    </row>
    <row r="43" spans="1:5" ht="47.25" x14ac:dyDescent="0.25">
      <c r="A43" s="86">
        <v>44776</v>
      </c>
      <c r="B43" s="87" t="s">
        <v>778</v>
      </c>
      <c r="C43" s="76" t="s">
        <v>779</v>
      </c>
      <c r="D43" s="85" t="s">
        <v>780</v>
      </c>
      <c r="E43" s="89">
        <v>656383.66</v>
      </c>
    </row>
    <row r="44" spans="1:5" ht="47.25" x14ac:dyDescent="0.25">
      <c r="A44" s="86">
        <v>44807</v>
      </c>
      <c r="B44" s="87" t="s">
        <v>781</v>
      </c>
      <c r="C44" s="76" t="s">
        <v>688</v>
      </c>
      <c r="D44" s="85" t="s">
        <v>782</v>
      </c>
      <c r="E44" s="89">
        <v>1194581.25</v>
      </c>
    </row>
    <row r="45" spans="1:5" ht="31.5" x14ac:dyDescent="0.25">
      <c r="A45" s="86">
        <v>44807</v>
      </c>
      <c r="B45" s="87" t="s">
        <v>783</v>
      </c>
      <c r="C45" s="85" t="s">
        <v>433</v>
      </c>
      <c r="D45" s="85" t="s">
        <v>784</v>
      </c>
      <c r="E45" s="89">
        <v>1026000</v>
      </c>
    </row>
    <row r="46" spans="1:5" ht="31.5" x14ac:dyDescent="0.25">
      <c r="A46" s="86">
        <v>44807</v>
      </c>
      <c r="B46" s="87" t="s">
        <v>785</v>
      </c>
      <c r="C46" s="76" t="s">
        <v>786</v>
      </c>
      <c r="D46" s="85" t="s">
        <v>787</v>
      </c>
      <c r="E46" s="89">
        <v>228087.78</v>
      </c>
    </row>
    <row r="47" spans="1:5" ht="63" x14ac:dyDescent="0.25">
      <c r="A47" s="86">
        <v>44807</v>
      </c>
      <c r="B47" s="87" t="s">
        <v>788</v>
      </c>
      <c r="C47" s="76" t="s">
        <v>34</v>
      </c>
      <c r="D47" s="85" t="s">
        <v>789</v>
      </c>
      <c r="E47" s="89">
        <v>19950</v>
      </c>
    </row>
    <row r="48" spans="1:5" ht="31.5" x14ac:dyDescent="0.25">
      <c r="A48" s="86">
        <v>44807</v>
      </c>
      <c r="B48" s="87" t="s">
        <v>790</v>
      </c>
      <c r="C48" s="76" t="s">
        <v>791</v>
      </c>
      <c r="D48" s="85" t="s">
        <v>792</v>
      </c>
      <c r="E48" s="89">
        <v>667968.75</v>
      </c>
    </row>
    <row r="49" spans="1:5" ht="31.5" x14ac:dyDescent="0.25">
      <c r="A49" s="86">
        <v>44837</v>
      </c>
      <c r="B49" s="170" t="s">
        <v>814</v>
      </c>
      <c r="C49" s="171" t="s">
        <v>815</v>
      </c>
      <c r="D49" s="172" t="s">
        <v>816</v>
      </c>
      <c r="E49" s="173">
        <v>515363.78</v>
      </c>
    </row>
    <row r="50" spans="1:5" ht="63" x14ac:dyDescent="0.25">
      <c r="A50" s="86">
        <v>44837</v>
      </c>
      <c r="B50" s="170" t="s">
        <v>793</v>
      </c>
      <c r="C50" s="171" t="s">
        <v>794</v>
      </c>
      <c r="D50" s="172" t="s">
        <v>795</v>
      </c>
      <c r="E50" s="173">
        <v>1814430.03</v>
      </c>
    </row>
    <row r="51" spans="1:5" ht="47.25" x14ac:dyDescent="0.25">
      <c r="A51" s="86">
        <v>44837</v>
      </c>
      <c r="B51" s="170" t="s">
        <v>817</v>
      </c>
      <c r="C51" s="171" t="s">
        <v>287</v>
      </c>
      <c r="D51" s="172" t="s">
        <v>818</v>
      </c>
      <c r="E51" s="173">
        <v>34645.74</v>
      </c>
    </row>
    <row r="52" spans="1:5" ht="31.5" x14ac:dyDescent="0.25">
      <c r="A52" s="86">
        <v>44837</v>
      </c>
      <c r="B52" s="170" t="s">
        <v>819</v>
      </c>
      <c r="C52" s="171" t="s">
        <v>820</v>
      </c>
      <c r="D52" s="172" t="s">
        <v>821</v>
      </c>
      <c r="E52" s="173">
        <v>103164.48</v>
      </c>
    </row>
    <row r="53" spans="1:5" ht="31.5" x14ac:dyDescent="0.25">
      <c r="A53" s="86">
        <v>44837</v>
      </c>
      <c r="B53" s="170" t="s">
        <v>796</v>
      </c>
      <c r="C53" s="171" t="s">
        <v>822</v>
      </c>
      <c r="D53" s="172" t="s">
        <v>893</v>
      </c>
      <c r="E53" s="173">
        <v>31144.639999999999</v>
      </c>
    </row>
    <row r="54" spans="1:5" ht="31.5" x14ac:dyDescent="0.25">
      <c r="A54" s="86">
        <v>44837</v>
      </c>
      <c r="B54" s="170" t="s">
        <v>797</v>
      </c>
      <c r="C54" s="172" t="s">
        <v>601</v>
      </c>
      <c r="D54" s="172" t="s">
        <v>798</v>
      </c>
      <c r="E54" s="173">
        <v>4200</v>
      </c>
    </row>
    <row r="55" spans="1:5" ht="31.5" x14ac:dyDescent="0.25">
      <c r="A55" s="86">
        <v>44837</v>
      </c>
      <c r="B55" s="170" t="s">
        <v>799</v>
      </c>
      <c r="C55" s="171" t="s">
        <v>800</v>
      </c>
      <c r="D55" s="172" t="s">
        <v>801</v>
      </c>
      <c r="E55" s="173">
        <v>131100</v>
      </c>
    </row>
    <row r="56" spans="1:5" ht="31.5" x14ac:dyDescent="0.25">
      <c r="A56" s="86">
        <v>44837</v>
      </c>
      <c r="B56" s="170" t="s">
        <v>802</v>
      </c>
      <c r="C56" s="171" t="s">
        <v>803</v>
      </c>
      <c r="D56" s="172" t="s">
        <v>804</v>
      </c>
      <c r="E56" s="173">
        <v>833578.4</v>
      </c>
    </row>
    <row r="57" spans="1:5" ht="31.5" x14ac:dyDescent="0.25">
      <c r="A57" s="86">
        <v>44837</v>
      </c>
      <c r="B57" s="170" t="s">
        <v>805</v>
      </c>
      <c r="C57" s="171" t="s">
        <v>806</v>
      </c>
      <c r="D57" s="172" t="s">
        <v>807</v>
      </c>
      <c r="E57" s="173">
        <v>309122.8</v>
      </c>
    </row>
    <row r="58" spans="1:5" ht="47.25" x14ac:dyDescent="0.25">
      <c r="A58" s="86">
        <v>44837</v>
      </c>
      <c r="B58" s="170" t="s">
        <v>808</v>
      </c>
      <c r="C58" s="171" t="s">
        <v>809</v>
      </c>
      <c r="D58" s="172" t="s">
        <v>810</v>
      </c>
      <c r="E58" s="173">
        <v>173560.54</v>
      </c>
    </row>
    <row r="59" spans="1:5" ht="31.5" x14ac:dyDescent="0.25">
      <c r="A59" s="86">
        <v>44837</v>
      </c>
      <c r="B59" s="87" t="s">
        <v>811</v>
      </c>
      <c r="C59" s="76" t="s">
        <v>812</v>
      </c>
      <c r="D59" s="85" t="s">
        <v>813</v>
      </c>
      <c r="E59" s="89">
        <v>134174.20000000001</v>
      </c>
    </row>
    <row r="60" spans="1:5" ht="47.25" x14ac:dyDescent="0.25">
      <c r="A60" s="86">
        <v>44868</v>
      </c>
      <c r="B60" s="87" t="s">
        <v>823</v>
      </c>
      <c r="C60" s="76" t="s">
        <v>824</v>
      </c>
      <c r="D60" s="85" t="s">
        <v>825</v>
      </c>
      <c r="E60" s="89">
        <v>83476.5</v>
      </c>
    </row>
    <row r="61" spans="1:5" ht="31.5" x14ac:dyDescent="0.25">
      <c r="A61" s="86" t="s">
        <v>826</v>
      </c>
      <c r="B61" s="87" t="s">
        <v>827</v>
      </c>
      <c r="C61" s="76" t="s">
        <v>828</v>
      </c>
      <c r="D61" s="85" t="s">
        <v>829</v>
      </c>
      <c r="E61" s="89">
        <v>856425</v>
      </c>
    </row>
    <row r="62" spans="1:5" ht="31.5" x14ac:dyDescent="0.25">
      <c r="A62" s="86" t="s">
        <v>826</v>
      </c>
      <c r="B62" s="87" t="s">
        <v>830</v>
      </c>
      <c r="C62" s="76" t="s">
        <v>831</v>
      </c>
      <c r="D62" s="85" t="s">
        <v>832</v>
      </c>
      <c r="E62" s="89">
        <v>64257.45</v>
      </c>
    </row>
    <row r="63" spans="1:5" ht="31.5" x14ac:dyDescent="0.25">
      <c r="A63" s="86" t="s">
        <v>833</v>
      </c>
      <c r="B63" s="87"/>
      <c r="C63" s="76" t="s">
        <v>44</v>
      </c>
      <c r="D63" s="85" t="s">
        <v>859</v>
      </c>
      <c r="E63" s="174"/>
    </row>
    <row r="64" spans="1:5" ht="31.5" x14ac:dyDescent="0.25">
      <c r="A64" s="86" t="s">
        <v>833</v>
      </c>
      <c r="B64" s="87" t="s">
        <v>836</v>
      </c>
      <c r="C64" s="85" t="s">
        <v>837</v>
      </c>
      <c r="D64" s="85" t="s">
        <v>838</v>
      </c>
      <c r="E64" s="174">
        <v>1496251.15</v>
      </c>
    </row>
    <row r="65" spans="1:5" ht="31.5" x14ac:dyDescent="0.25">
      <c r="A65" s="86" t="s">
        <v>833</v>
      </c>
      <c r="B65" s="87" t="s">
        <v>839</v>
      </c>
      <c r="C65" s="76" t="s">
        <v>840</v>
      </c>
      <c r="D65" s="85" t="s">
        <v>841</v>
      </c>
      <c r="E65" s="174">
        <v>251825.35</v>
      </c>
    </row>
    <row r="66" spans="1:5" ht="63" x14ac:dyDescent="0.25">
      <c r="A66" s="86" t="s">
        <v>833</v>
      </c>
      <c r="B66" s="87" t="s">
        <v>842</v>
      </c>
      <c r="C66" s="76" t="s">
        <v>736</v>
      </c>
      <c r="D66" s="85" t="s">
        <v>843</v>
      </c>
      <c r="E66" s="174">
        <v>693469.09</v>
      </c>
    </row>
    <row r="67" spans="1:5" ht="31.5" x14ac:dyDescent="0.25">
      <c r="A67" s="86" t="s">
        <v>861</v>
      </c>
      <c r="B67" s="87"/>
      <c r="C67" s="76" t="s">
        <v>44</v>
      </c>
      <c r="D67" s="85" t="s">
        <v>860</v>
      </c>
      <c r="E67" s="174"/>
    </row>
    <row r="68" spans="1:5" ht="63" x14ac:dyDescent="0.25">
      <c r="A68" s="86" t="s">
        <v>861</v>
      </c>
      <c r="B68" s="87" t="s">
        <v>844</v>
      </c>
      <c r="C68" s="76" t="s">
        <v>845</v>
      </c>
      <c r="D68" s="85" t="s">
        <v>846</v>
      </c>
      <c r="E68" s="174">
        <v>1071611.5</v>
      </c>
    </row>
    <row r="69" spans="1:5" ht="31.5" x14ac:dyDescent="0.25">
      <c r="A69" s="86" t="s">
        <v>861</v>
      </c>
      <c r="B69" s="87" t="s">
        <v>847</v>
      </c>
      <c r="C69" s="76" t="s">
        <v>848</v>
      </c>
      <c r="D69" s="85" t="s">
        <v>849</v>
      </c>
      <c r="E69" s="174">
        <v>245100</v>
      </c>
    </row>
    <row r="70" spans="1:5" ht="33.75" customHeight="1" x14ac:dyDescent="0.25">
      <c r="A70" s="86" t="s">
        <v>861</v>
      </c>
      <c r="B70" s="87" t="s">
        <v>850</v>
      </c>
      <c r="C70" s="76" t="s">
        <v>758</v>
      </c>
      <c r="D70" s="85" t="s">
        <v>851</v>
      </c>
      <c r="E70" s="174">
        <v>1058009</v>
      </c>
    </row>
    <row r="71" spans="1:5" ht="31.5" x14ac:dyDescent="0.25">
      <c r="A71" s="86" t="s">
        <v>861</v>
      </c>
      <c r="B71" s="87" t="s">
        <v>852</v>
      </c>
      <c r="C71" s="76" t="s">
        <v>718</v>
      </c>
      <c r="D71" s="85" t="s">
        <v>853</v>
      </c>
      <c r="E71" s="174">
        <v>155574.46</v>
      </c>
    </row>
    <row r="72" spans="1:5" ht="31.5" x14ac:dyDescent="0.25">
      <c r="A72" s="86" t="s">
        <v>861</v>
      </c>
      <c r="B72" s="87" t="s">
        <v>854</v>
      </c>
      <c r="C72" s="76" t="s">
        <v>855</v>
      </c>
      <c r="D72" s="85" t="s">
        <v>856</v>
      </c>
      <c r="E72" s="174">
        <v>907439.26</v>
      </c>
    </row>
    <row r="73" spans="1:5" ht="78.75" x14ac:dyDescent="0.25">
      <c r="A73" s="86" t="s">
        <v>861</v>
      </c>
      <c r="B73" s="87" t="s">
        <v>857</v>
      </c>
      <c r="C73" s="76" t="s">
        <v>703</v>
      </c>
      <c r="D73" s="85" t="s">
        <v>858</v>
      </c>
      <c r="E73" s="174">
        <v>1733099.32</v>
      </c>
    </row>
    <row r="74" spans="1:5" ht="47.25" x14ac:dyDescent="0.25">
      <c r="A74" s="86" t="s">
        <v>863</v>
      </c>
      <c r="B74" s="87" t="s">
        <v>864</v>
      </c>
      <c r="C74" s="76" t="s">
        <v>865</v>
      </c>
      <c r="D74" s="85" t="s">
        <v>866</v>
      </c>
      <c r="E74" s="174">
        <v>1442473.92</v>
      </c>
    </row>
    <row r="75" spans="1:5" ht="31.5" x14ac:dyDescent="0.25">
      <c r="A75" s="86" t="s">
        <v>863</v>
      </c>
      <c r="B75" s="87" t="s">
        <v>867</v>
      </c>
      <c r="C75" s="76" t="s">
        <v>47</v>
      </c>
      <c r="D75" s="85" t="s">
        <v>868</v>
      </c>
      <c r="E75" s="174">
        <v>18000</v>
      </c>
    </row>
    <row r="76" spans="1:5" ht="31.5" x14ac:dyDescent="0.25">
      <c r="A76" s="86" t="s">
        <v>863</v>
      </c>
      <c r="B76" s="87" t="s">
        <v>869</v>
      </c>
      <c r="C76" s="85" t="s">
        <v>870</v>
      </c>
      <c r="D76" s="85" t="s">
        <v>871</v>
      </c>
      <c r="E76" s="174">
        <v>129724</v>
      </c>
    </row>
    <row r="77" spans="1:5" ht="31.5" x14ac:dyDescent="0.25">
      <c r="A77" s="86" t="s">
        <v>863</v>
      </c>
      <c r="B77" s="87" t="s">
        <v>872</v>
      </c>
      <c r="C77" s="85" t="s">
        <v>96</v>
      </c>
      <c r="D77" s="85" t="s">
        <v>873</v>
      </c>
      <c r="E77" s="174">
        <v>157296</v>
      </c>
    </row>
    <row r="78" spans="1:5" ht="31.5" x14ac:dyDescent="0.25">
      <c r="A78" s="86" t="s">
        <v>877</v>
      </c>
      <c r="B78" s="87" t="s">
        <v>878</v>
      </c>
      <c r="C78" s="85" t="s">
        <v>460</v>
      </c>
      <c r="D78" s="85" t="s">
        <v>879</v>
      </c>
      <c r="E78" s="89">
        <v>623039.63</v>
      </c>
    </row>
    <row r="79" spans="1:5" ht="31.5" x14ac:dyDescent="0.25">
      <c r="A79" s="86" t="s">
        <v>877</v>
      </c>
      <c r="B79" s="87" t="s">
        <v>880</v>
      </c>
      <c r="C79" s="85" t="s">
        <v>870</v>
      </c>
      <c r="D79" s="85" t="s">
        <v>871</v>
      </c>
      <c r="E79" s="89">
        <v>129724</v>
      </c>
    </row>
    <row r="80" spans="1:5" ht="31.5" x14ac:dyDescent="0.25">
      <c r="A80" s="86" t="s">
        <v>877</v>
      </c>
      <c r="B80" s="87" t="s">
        <v>881</v>
      </c>
      <c r="C80" s="85" t="s">
        <v>104</v>
      </c>
      <c r="D80" s="85" t="s">
        <v>882</v>
      </c>
      <c r="E80" s="89">
        <v>23000</v>
      </c>
    </row>
    <row r="81" spans="1:5" ht="31.5" x14ac:dyDescent="0.25">
      <c r="A81" s="86" t="s">
        <v>877</v>
      </c>
      <c r="B81" s="87" t="s">
        <v>883</v>
      </c>
      <c r="C81" s="85" t="s">
        <v>203</v>
      </c>
      <c r="D81" s="85" t="s">
        <v>884</v>
      </c>
      <c r="E81" s="89">
        <v>621500</v>
      </c>
    </row>
    <row r="82" spans="1:5" ht="31.5" x14ac:dyDescent="0.25">
      <c r="A82" s="86" t="s">
        <v>877</v>
      </c>
      <c r="B82" s="87" t="s">
        <v>885</v>
      </c>
      <c r="C82" s="85" t="s">
        <v>95</v>
      </c>
      <c r="D82" s="85" t="s">
        <v>886</v>
      </c>
      <c r="E82" s="89">
        <v>165442.5</v>
      </c>
    </row>
    <row r="83" spans="1:5" ht="31.5" x14ac:dyDescent="0.25">
      <c r="A83" s="86" t="s">
        <v>877</v>
      </c>
      <c r="B83" s="87" t="s">
        <v>887</v>
      </c>
      <c r="C83" s="85" t="s">
        <v>888</v>
      </c>
      <c r="D83" s="85" t="s">
        <v>889</v>
      </c>
      <c r="E83" s="89">
        <v>13096.7</v>
      </c>
    </row>
    <row r="84" spans="1:5" ht="31.5" x14ac:dyDescent="0.25">
      <c r="A84" s="86" t="s">
        <v>894</v>
      </c>
      <c r="B84" s="87" t="s">
        <v>903</v>
      </c>
      <c r="C84" s="85" t="s">
        <v>32</v>
      </c>
      <c r="D84" s="85" t="s">
        <v>904</v>
      </c>
      <c r="E84" s="89">
        <v>541271.62</v>
      </c>
    </row>
    <row r="85" spans="1:5" ht="31.5" x14ac:dyDescent="0.25">
      <c r="A85" s="86" t="s">
        <v>894</v>
      </c>
      <c r="B85" s="87" t="s">
        <v>901</v>
      </c>
      <c r="C85" s="85" t="s">
        <v>32</v>
      </c>
      <c r="D85" s="85" t="s">
        <v>902</v>
      </c>
      <c r="E85" s="89">
        <v>1691495</v>
      </c>
    </row>
    <row r="86" spans="1:5" ht="31.5" x14ac:dyDescent="0.25">
      <c r="A86" s="86" t="s">
        <v>894</v>
      </c>
      <c r="B86" s="87" t="s">
        <v>898</v>
      </c>
      <c r="C86" s="85" t="s">
        <v>32</v>
      </c>
      <c r="D86" s="85" t="s">
        <v>905</v>
      </c>
      <c r="E86" s="89"/>
    </row>
    <row r="87" spans="1:5" ht="47.25" x14ac:dyDescent="0.25">
      <c r="A87" s="86" t="s">
        <v>894</v>
      </c>
      <c r="B87" s="87" t="s">
        <v>898</v>
      </c>
      <c r="C87" s="85" t="s">
        <v>32</v>
      </c>
      <c r="D87" s="85" t="s">
        <v>906</v>
      </c>
      <c r="E87" s="89">
        <v>24272284.399999999</v>
      </c>
    </row>
    <row r="88" spans="1:5" ht="47.25" x14ac:dyDescent="0.25">
      <c r="A88" s="86" t="s">
        <v>894</v>
      </c>
      <c r="B88" s="87" t="s">
        <v>898</v>
      </c>
      <c r="C88" s="85" t="s">
        <v>32</v>
      </c>
      <c r="D88" s="85" t="s">
        <v>895</v>
      </c>
      <c r="E88" s="89">
        <v>3064027.13</v>
      </c>
    </row>
    <row r="89" spans="1:5" ht="47.25" x14ac:dyDescent="0.25">
      <c r="A89" s="86" t="s">
        <v>894</v>
      </c>
      <c r="B89" s="87" t="s">
        <v>898</v>
      </c>
      <c r="C89" s="85" t="s">
        <v>32</v>
      </c>
      <c r="D89" s="85" t="s">
        <v>896</v>
      </c>
      <c r="E89" s="89">
        <v>3879023.2199999997</v>
      </c>
    </row>
    <row r="90" spans="1:5" ht="31.5" x14ac:dyDescent="0.25">
      <c r="A90" s="86" t="s">
        <v>894</v>
      </c>
      <c r="B90" s="87" t="s">
        <v>898</v>
      </c>
      <c r="C90" s="85" t="s">
        <v>32</v>
      </c>
      <c r="D90" s="85" t="s">
        <v>897</v>
      </c>
      <c r="E90" s="89">
        <v>318491.88</v>
      </c>
    </row>
    <row r="91" spans="1:5" ht="31.5" x14ac:dyDescent="0.25">
      <c r="A91" s="86" t="s">
        <v>894</v>
      </c>
      <c r="B91" s="87" t="s">
        <v>899</v>
      </c>
      <c r="C91" s="85" t="s">
        <v>32</v>
      </c>
      <c r="D91" s="85" t="s">
        <v>900</v>
      </c>
      <c r="E91" s="89">
        <v>8733799.0999999996</v>
      </c>
    </row>
    <row r="92" spans="1:5" ht="31.5" x14ac:dyDescent="0.25">
      <c r="A92" s="86" t="s">
        <v>894</v>
      </c>
      <c r="B92" s="87" t="s">
        <v>908</v>
      </c>
      <c r="C92" s="85" t="s">
        <v>32</v>
      </c>
      <c r="D92" s="85" t="s">
        <v>907</v>
      </c>
      <c r="E92" s="89">
        <v>78000</v>
      </c>
    </row>
    <row r="93" spans="1:5" ht="31.5" x14ac:dyDescent="0.25">
      <c r="A93" s="86" t="s">
        <v>894</v>
      </c>
      <c r="B93" s="87" t="s">
        <v>909</v>
      </c>
      <c r="C93" s="85" t="s">
        <v>32</v>
      </c>
      <c r="D93" s="85" t="s">
        <v>910</v>
      </c>
      <c r="E93" s="89">
        <v>1102621.2</v>
      </c>
    </row>
    <row r="94" spans="1:5" ht="31.5" x14ac:dyDescent="0.25">
      <c r="A94" s="86" t="s">
        <v>890</v>
      </c>
      <c r="B94" s="87" t="s">
        <v>891</v>
      </c>
      <c r="C94" s="85" t="s">
        <v>892</v>
      </c>
      <c r="D94" s="85" t="s">
        <v>911</v>
      </c>
      <c r="E94" s="89">
        <v>72320</v>
      </c>
    </row>
    <row r="95" spans="1:5" ht="31.5" x14ac:dyDescent="0.25">
      <c r="A95" s="86" t="s">
        <v>925</v>
      </c>
      <c r="B95" s="87" t="s">
        <v>915</v>
      </c>
      <c r="C95" s="85" t="s">
        <v>916</v>
      </c>
      <c r="D95" s="85" t="s">
        <v>917</v>
      </c>
      <c r="E95" s="89">
        <v>238761.60000000001</v>
      </c>
    </row>
    <row r="96" spans="1:5" ht="31.5" x14ac:dyDescent="0.25">
      <c r="A96" s="86" t="s">
        <v>925</v>
      </c>
      <c r="B96" s="87" t="s">
        <v>920</v>
      </c>
      <c r="C96" s="85" t="s">
        <v>918</v>
      </c>
      <c r="D96" s="85" t="s">
        <v>919</v>
      </c>
      <c r="E96" s="89">
        <v>84332.29</v>
      </c>
    </row>
    <row r="97" spans="1:6" ht="31.5" x14ac:dyDescent="0.25">
      <c r="A97" s="86" t="s">
        <v>925</v>
      </c>
      <c r="B97" s="87" t="s">
        <v>921</v>
      </c>
      <c r="C97" s="85" t="s">
        <v>922</v>
      </c>
      <c r="D97" s="85" t="s">
        <v>923</v>
      </c>
      <c r="E97" s="89">
        <v>553700</v>
      </c>
    </row>
    <row r="98" spans="1:6" ht="31.5" x14ac:dyDescent="0.25">
      <c r="A98" s="86"/>
      <c r="B98" s="87"/>
      <c r="C98" s="85" t="s">
        <v>931</v>
      </c>
      <c r="D98" s="85" t="s">
        <v>930</v>
      </c>
      <c r="E98" s="89"/>
    </row>
    <row r="99" spans="1:6" ht="31.5" x14ac:dyDescent="0.25">
      <c r="A99" s="86" t="s">
        <v>932</v>
      </c>
      <c r="B99" s="87" t="s">
        <v>937</v>
      </c>
      <c r="C99" s="85" t="s">
        <v>949</v>
      </c>
      <c r="D99" s="85" t="s">
        <v>933</v>
      </c>
      <c r="E99" s="89">
        <v>575309.49</v>
      </c>
    </row>
    <row r="100" spans="1:6" ht="47.25" x14ac:dyDescent="0.25">
      <c r="A100" s="86" t="s">
        <v>934</v>
      </c>
      <c r="B100" s="87" t="s">
        <v>938</v>
      </c>
      <c r="C100" s="85" t="s">
        <v>709</v>
      </c>
      <c r="D100" s="85" t="s">
        <v>935</v>
      </c>
      <c r="E100" s="89">
        <v>231263.63</v>
      </c>
    </row>
    <row r="101" spans="1:6" ht="63" x14ac:dyDescent="0.25">
      <c r="A101" s="86" t="s">
        <v>936</v>
      </c>
      <c r="B101" s="87" t="s">
        <v>952</v>
      </c>
      <c r="C101" s="85" t="s">
        <v>939</v>
      </c>
      <c r="D101" s="85" t="s">
        <v>940</v>
      </c>
      <c r="E101" s="89">
        <v>1457344.11</v>
      </c>
    </row>
    <row r="102" spans="1:6" ht="47.25" x14ac:dyDescent="0.25">
      <c r="A102" s="86" t="s">
        <v>941</v>
      </c>
      <c r="B102" s="87" t="s">
        <v>942</v>
      </c>
      <c r="C102" s="85" t="s">
        <v>943</v>
      </c>
      <c r="D102" s="85" t="s">
        <v>944</v>
      </c>
      <c r="E102" s="89">
        <v>266479.32</v>
      </c>
    </row>
    <row r="103" spans="1:6" ht="31.5" x14ac:dyDescent="0.25">
      <c r="A103" s="86" t="s">
        <v>941</v>
      </c>
      <c r="B103" s="87" t="s">
        <v>945</v>
      </c>
      <c r="C103" s="85" t="s">
        <v>946</v>
      </c>
      <c r="D103" s="85" t="s">
        <v>947</v>
      </c>
      <c r="E103" s="89">
        <v>929196.74</v>
      </c>
    </row>
    <row r="104" spans="1:6" ht="31.5" x14ac:dyDescent="0.25">
      <c r="A104" s="86" t="s">
        <v>934</v>
      </c>
      <c r="B104" s="87" t="s">
        <v>948</v>
      </c>
      <c r="C104" s="85" t="s">
        <v>950</v>
      </c>
      <c r="D104" s="85" t="s">
        <v>951</v>
      </c>
      <c r="E104" s="89">
        <v>406505</v>
      </c>
    </row>
    <row r="105" spans="1:6" ht="47.25" x14ac:dyDescent="0.25">
      <c r="A105" s="86" t="s">
        <v>941</v>
      </c>
      <c r="B105" s="87" t="s">
        <v>953</v>
      </c>
      <c r="C105" s="85" t="s">
        <v>954</v>
      </c>
      <c r="D105" s="85" t="s">
        <v>955</v>
      </c>
      <c r="E105" s="89">
        <v>441650.22</v>
      </c>
    </row>
    <row r="106" spans="1:6" ht="31.5" x14ac:dyDescent="0.25">
      <c r="A106" s="86" t="s">
        <v>936</v>
      </c>
      <c r="B106" s="87" t="s">
        <v>956</v>
      </c>
      <c r="C106" s="85" t="s">
        <v>957</v>
      </c>
      <c r="D106" s="85" t="s">
        <v>958</v>
      </c>
      <c r="E106" s="89">
        <v>1327530</v>
      </c>
    </row>
    <row r="107" spans="1:6" s="79" customFormat="1" ht="94.5" x14ac:dyDescent="0.25">
      <c r="A107" s="86"/>
      <c r="B107" s="87" t="s">
        <v>969</v>
      </c>
      <c r="C107" s="85" t="s">
        <v>970</v>
      </c>
      <c r="D107" s="85" t="s">
        <v>971</v>
      </c>
      <c r="E107" s="89">
        <v>134900.78</v>
      </c>
      <c r="F107" s="89"/>
    </row>
    <row r="108" spans="1:6" ht="31.5" x14ac:dyDescent="0.25">
      <c r="A108" s="86" t="s">
        <v>936</v>
      </c>
      <c r="B108" s="87" t="s">
        <v>959</v>
      </c>
      <c r="C108" s="85" t="s">
        <v>685</v>
      </c>
      <c r="D108" s="85" t="s">
        <v>960</v>
      </c>
      <c r="E108" s="89">
        <v>1537145.5</v>
      </c>
    </row>
    <row r="109" spans="1:6" ht="31.5" x14ac:dyDescent="0.25">
      <c r="A109" s="86" t="s">
        <v>936</v>
      </c>
      <c r="B109" s="87" t="s">
        <v>961</v>
      </c>
      <c r="C109" s="85" t="s">
        <v>962</v>
      </c>
      <c r="D109" s="85" t="s">
        <v>963</v>
      </c>
      <c r="E109" s="89">
        <v>607985.93999999994</v>
      </c>
    </row>
    <row r="110" spans="1:6" ht="31.5" x14ac:dyDescent="0.25">
      <c r="A110" s="86" t="s">
        <v>936</v>
      </c>
      <c r="B110" s="87" t="s">
        <v>964</v>
      </c>
      <c r="C110" s="85" t="s">
        <v>965</v>
      </c>
      <c r="D110" s="85" t="s">
        <v>966</v>
      </c>
      <c r="E110" s="89">
        <v>208240.92</v>
      </c>
    </row>
    <row r="111" spans="1:6" x14ac:dyDescent="0.25">
      <c r="E111" s="177">
        <f>SUM(E1:E110)</f>
        <v>96427304.219999969</v>
      </c>
    </row>
    <row r="117" spans="2:2" x14ac:dyDescent="0.25">
      <c r="B117" s="8">
        <v>31558014.059999999</v>
      </c>
    </row>
    <row r="118" spans="2:2" x14ac:dyDescent="0.25">
      <c r="B118" s="8">
        <v>51823509.890000001</v>
      </c>
    </row>
    <row r="119" spans="2:2" x14ac:dyDescent="0.25">
      <c r="B119" s="8">
        <f>SUM(B117:B118)</f>
        <v>83381523.950000003</v>
      </c>
    </row>
    <row r="120" spans="2:2" x14ac:dyDescent="0.25">
      <c r="B120" s="8"/>
    </row>
    <row r="122" spans="2:2" x14ac:dyDescent="0.25">
      <c r="B122" s="8">
        <v>927400.56</v>
      </c>
    </row>
    <row r="123" spans="2:2" x14ac:dyDescent="0.25">
      <c r="B123" s="8">
        <v>18581705.420000002</v>
      </c>
    </row>
    <row r="124" spans="2:2" x14ac:dyDescent="0.25">
      <c r="B124" s="8">
        <v>2535250.79</v>
      </c>
    </row>
    <row r="125" spans="2:2" x14ac:dyDescent="0.25">
      <c r="B125" s="8">
        <v>36543651.93</v>
      </c>
    </row>
    <row r="126" spans="2:2" x14ac:dyDescent="0.25">
      <c r="B126" s="8">
        <f>SUM(B122:B125)</f>
        <v>58588008.700000003</v>
      </c>
    </row>
    <row r="127" spans="2:2" x14ac:dyDescent="0.25">
      <c r="B127" s="8"/>
    </row>
    <row r="130" spans="2:2" x14ac:dyDescent="0.25">
      <c r="B130" s="177">
        <f>B119-B126</f>
        <v>24793515.25</v>
      </c>
    </row>
  </sheetData>
  <pageMargins left="0.2" right="0.21" top="0.2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SUBVENCION</vt:lpstr>
      <vt:lpstr>OPERATIVA</vt:lpstr>
      <vt:lpstr>Hoja3</vt:lpstr>
      <vt:lpstr>UNICA</vt:lpstr>
      <vt:lpstr>COPIA CUENTA UNICA MES OCTUBRE.</vt:lpstr>
      <vt:lpstr>Hoja1</vt:lpstr>
      <vt:lpstr>Hoja2</vt:lpstr>
      <vt:lpstr>Hoja5</vt:lpstr>
      <vt:lpstr>Hoja4</vt:lpstr>
      <vt:lpstr>Hoja6</vt:lpstr>
      <vt:lpstr>OPERATIVA!Área_de_impresión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Sanchez Suarez</dc:creator>
  <cp:lastModifiedBy>Leidy Sanchez Suarez</cp:lastModifiedBy>
  <cp:revision/>
  <cp:lastPrinted>2022-06-06T14:27:55Z</cp:lastPrinted>
  <dcterms:created xsi:type="dcterms:W3CDTF">2018-01-03T15:42:42Z</dcterms:created>
  <dcterms:modified xsi:type="dcterms:W3CDTF">2022-06-06T16:13:44Z</dcterms:modified>
</cp:coreProperties>
</file>